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45" windowHeight="6750" tabRatio="599" firstSheet="4" activeTab="6"/>
  </bookViews>
  <sheets>
    <sheet name="chitietnopNGANSACH ()" sheetId="1" r:id="rId1"/>
    <sheet name="BIEU 11-BANGTIEUTHU (R) " sheetId="2" r:id="rId2"/>
    <sheet name="B 02-DN KQKD moi (R)" sheetId="3" r:id="rId3"/>
    <sheet name="BIEU 02-Bang CDSPS " sheetId="4" r:id="rId4"/>
    <sheet name="B 09-DN TM BAOCAO" sheetId="5" r:id="rId5"/>
    <sheet name="B 01-DN CD KETOAN " sheetId="6" r:id="rId6"/>
    <sheet name="B 03-DN LUUCHUYENTIENTEtructiep" sheetId="7" r:id="rId7"/>
  </sheets>
  <definedNames>
    <definedName name="_xlnm.Print_Titles" localSheetId="3">'BIEU 02-Bang CDSPS '!$5:$6</definedName>
    <definedName name="_xlnm.Print_Titles" localSheetId="1">'BIEU 11-BANGTIEUTHU (R) '!$5:$7</definedName>
  </definedNames>
  <calcPr fullCalcOnLoad="1"/>
</workbook>
</file>

<file path=xl/comments2.xml><?xml version="1.0" encoding="utf-8"?>
<comments xmlns="http://schemas.openxmlformats.org/spreadsheetml/2006/main">
  <authors>
    <author>VNN.R9</author>
    <author>ANH AN</author>
  </authors>
  <commentList>
    <comment ref="E20" authorId="0">
      <text>
        <r>
          <rPr>
            <b/>
            <sz val="8"/>
            <rFont val="Tahoma"/>
            <family val="0"/>
          </rPr>
          <t>VNN.R9:</t>
        </r>
        <r>
          <rPr>
            <sz val="8"/>
            <rFont val="Tahoma"/>
            <family val="0"/>
          </rPr>
          <t xml:space="preserve">
</t>
        </r>
        <r>
          <rPr>
            <sz val="10"/>
            <rFont val="Tahoma"/>
            <family val="2"/>
          </rPr>
          <t>AVA : 234.107.547</t>
        </r>
      </text>
    </comment>
    <comment ref="E14" authorId="1">
      <text>
        <r>
          <rPr>
            <b/>
            <sz val="8"/>
            <rFont val="Tahoma"/>
            <family val="0"/>
          </rPr>
          <t>ANH AN:</t>
        </r>
        <r>
          <rPr>
            <sz val="8"/>
            <rFont val="Tahoma"/>
            <family val="0"/>
          </rPr>
          <t xml:space="preserve">
BIEU PHAN BO NHAP XUAT</t>
        </r>
      </text>
    </comment>
    <comment ref="E17" authorId="1">
      <text>
        <r>
          <rPr>
            <b/>
            <sz val="8"/>
            <rFont val="Tahoma"/>
            <family val="0"/>
          </rPr>
          <t>ANH AN:</t>
        </r>
        <r>
          <rPr>
            <sz val="8"/>
            <rFont val="Tahoma"/>
            <family val="0"/>
          </rPr>
          <t xml:space="preserve">
BIEU PHAN BO NHAP XUAT</t>
        </r>
      </text>
    </comment>
    <comment ref="H12" authorId="1">
      <text>
        <r>
          <rPr>
            <b/>
            <sz val="8"/>
            <rFont val="Tahoma"/>
            <family val="0"/>
          </rPr>
          <t>ANH AN:</t>
        </r>
        <r>
          <rPr>
            <sz val="8"/>
            <rFont val="Tahoma"/>
            <family val="0"/>
          </rPr>
          <t xml:space="preserve">
</t>
        </r>
        <r>
          <rPr>
            <sz val="10"/>
            <rFont val="Tahoma"/>
            <family val="2"/>
          </rPr>
          <t>chiphi banhang - chitiet 2</t>
        </r>
      </text>
    </comment>
  </commentList>
</comments>
</file>

<file path=xl/comments4.xml><?xml version="1.0" encoding="utf-8"?>
<comments xmlns="http://schemas.openxmlformats.org/spreadsheetml/2006/main">
  <authors>
    <author>VNN.R9</author>
  </authors>
  <commentList>
    <comment ref="L291" authorId="0">
      <text>
        <r>
          <rPr>
            <b/>
            <sz val="8"/>
            <rFont val="Tahoma"/>
            <family val="0"/>
          </rPr>
          <t>VNN.R9:</t>
        </r>
        <r>
          <rPr>
            <sz val="8"/>
            <rFont val="Tahoma"/>
            <family val="0"/>
          </rPr>
          <t xml:space="preserve">
</t>
        </r>
        <r>
          <rPr>
            <sz val="11"/>
            <rFont val="Tahoma"/>
            <family val="2"/>
          </rPr>
          <t xml:space="preserve">941.660.948 (nha cua, VKT)
    8.970.000 (hoi truong Ben Cui)
</t>
        </r>
        <r>
          <rPr>
            <sz val="8"/>
            <rFont val="Tahoma"/>
            <family val="0"/>
          </rPr>
          <t xml:space="preserve">
</t>
        </r>
      </text>
    </comment>
    <comment ref="D291" authorId="0">
      <text>
        <r>
          <rPr>
            <b/>
            <sz val="8"/>
            <rFont val="Tahoma"/>
            <family val="0"/>
          </rPr>
          <t>VNN.R9:</t>
        </r>
        <r>
          <rPr>
            <sz val="8"/>
            <rFont val="Tahoma"/>
            <family val="0"/>
          </rPr>
          <t xml:space="preserve">
</t>
        </r>
        <r>
          <rPr>
            <sz val="11"/>
            <rFont val="Tahoma"/>
            <family val="2"/>
          </rPr>
          <t xml:space="preserve">941.660.948 (nha cua, VKT)
    8.970.000 (hoi truong Ben Cui)
    3.039.171 (giao thong cho thanh ly)
    4.599.000 (TSCD khong khau hao)
                   0 (HT dien mu tap)
</t>
        </r>
        <r>
          <rPr>
            <sz val="8"/>
            <rFont val="Tahoma"/>
            <family val="0"/>
          </rPr>
          <t xml:space="preserve">
</t>
        </r>
      </text>
    </comment>
  </commentList>
</comments>
</file>

<file path=xl/comments5.xml><?xml version="1.0" encoding="utf-8"?>
<comments xmlns="http://schemas.openxmlformats.org/spreadsheetml/2006/main">
  <authors>
    <author>VNN.R9</author>
    <author>ANH AN</author>
  </authors>
  <commentList>
    <comment ref="F553" authorId="0">
      <text>
        <r>
          <rPr>
            <b/>
            <sz val="8"/>
            <rFont val="Tahoma"/>
            <family val="0"/>
          </rPr>
          <t>VNN.R9:</t>
        </r>
        <r>
          <rPr>
            <sz val="8"/>
            <rFont val="Tahoma"/>
            <family val="0"/>
          </rPr>
          <t xml:space="preserve">
gia cong mu
van chuyen
gia congkiem pham</t>
        </r>
      </text>
    </comment>
    <comment ref="F552" authorId="0">
      <text>
        <r>
          <rPr>
            <b/>
            <sz val="8"/>
            <rFont val="Tahoma"/>
            <family val="0"/>
          </rPr>
          <t>VNN.R9:</t>
        </r>
        <r>
          <rPr>
            <sz val="8"/>
            <rFont val="Tahoma"/>
            <family val="0"/>
          </rPr>
          <t xml:space="preserve">
SXKD</t>
        </r>
      </text>
    </comment>
    <comment ref="F576" authorId="0">
      <text>
        <r>
          <rPr>
            <b/>
            <sz val="8"/>
            <rFont val="Tahoma"/>
            <family val="0"/>
          </rPr>
          <t>VNN.R9:</t>
        </r>
        <r>
          <rPr>
            <sz val="8"/>
            <rFont val="Tahoma"/>
            <family val="0"/>
          </rPr>
          <t xml:space="preserve">
gia cong mu
van chuyen
gia cong kiem pham</t>
        </r>
      </text>
    </comment>
    <comment ref="G552" authorId="0">
      <text>
        <r>
          <rPr>
            <b/>
            <sz val="8"/>
            <rFont val="Tahoma"/>
            <family val="0"/>
          </rPr>
          <t>VNN.R9:</t>
        </r>
        <r>
          <rPr>
            <sz val="8"/>
            <rFont val="Tahoma"/>
            <family val="0"/>
          </rPr>
          <t xml:space="preserve">
SXKD</t>
        </r>
      </text>
    </comment>
    <comment ref="G553" authorId="0">
      <text>
        <r>
          <rPr>
            <b/>
            <sz val="8"/>
            <rFont val="Tahoma"/>
            <family val="0"/>
          </rPr>
          <t>VNN.R9:</t>
        </r>
        <r>
          <rPr>
            <sz val="8"/>
            <rFont val="Tahoma"/>
            <family val="0"/>
          </rPr>
          <t xml:space="preserve">
gia cong mu
van chuyen
gia congkiem pham</t>
        </r>
      </text>
    </comment>
    <comment ref="G554" authorId="0">
      <text>
        <r>
          <rPr>
            <b/>
            <sz val="8"/>
            <rFont val="Tahoma"/>
            <family val="0"/>
          </rPr>
          <t>VNN.R9:</t>
        </r>
        <r>
          <rPr>
            <sz val="8"/>
            <rFont val="Tahoma"/>
            <family val="0"/>
          </rPr>
          <t xml:space="preserve">
congtrinhngoai 
</t>
        </r>
      </text>
    </comment>
    <comment ref="G576" authorId="0">
      <text>
        <r>
          <rPr>
            <b/>
            <sz val="8"/>
            <rFont val="Tahoma"/>
            <family val="0"/>
          </rPr>
          <t>VNN.R9:</t>
        </r>
        <r>
          <rPr>
            <sz val="8"/>
            <rFont val="Tahoma"/>
            <family val="0"/>
          </rPr>
          <t xml:space="preserve">
gia cong mu
van chuyen
gia cong kiem pham</t>
        </r>
      </text>
    </comment>
    <comment ref="G574" authorId="0">
      <text>
        <r>
          <rPr>
            <b/>
            <sz val="8"/>
            <rFont val="Tahoma"/>
            <family val="0"/>
          </rPr>
          <t>VNN.R9:</t>
        </r>
        <r>
          <rPr>
            <sz val="8"/>
            <rFont val="Tahoma"/>
            <family val="0"/>
          </rPr>
          <t xml:space="preserve">
VAT TU
NHIN LIEU</t>
        </r>
      </text>
    </comment>
    <comment ref="F574" authorId="0">
      <text>
        <r>
          <rPr>
            <b/>
            <sz val="8"/>
            <rFont val="Tahoma"/>
            <family val="0"/>
          </rPr>
          <t>VNN.R9:</t>
        </r>
        <r>
          <rPr>
            <sz val="8"/>
            <rFont val="Tahoma"/>
            <family val="0"/>
          </rPr>
          <t xml:space="preserve">
</t>
        </r>
        <r>
          <rPr>
            <sz val="12"/>
            <rFont val="Tahoma"/>
            <family val="2"/>
          </rPr>
          <t>VAT TU
CHXD</t>
        </r>
      </text>
    </comment>
    <comment ref="F554" authorId="0">
      <text>
        <r>
          <rPr>
            <b/>
            <sz val="8"/>
            <rFont val="Tahoma"/>
            <family val="0"/>
          </rPr>
          <t>VNN.R9:</t>
        </r>
        <r>
          <rPr>
            <sz val="8"/>
            <rFont val="Tahoma"/>
            <family val="0"/>
          </rPr>
          <t xml:space="preserve">
CONG TRINH NGOAI</t>
        </r>
      </text>
    </comment>
    <comment ref="F535" authorId="0">
      <text>
        <r>
          <rPr>
            <b/>
            <sz val="8"/>
            <rFont val="Tahoma"/>
            <family val="0"/>
          </rPr>
          <t>VNN.R9:</t>
        </r>
        <r>
          <rPr>
            <sz val="8"/>
            <rFont val="Tahoma"/>
            <family val="0"/>
          </rPr>
          <t xml:space="preserve">
</t>
        </r>
        <r>
          <rPr>
            <sz val="12"/>
            <rFont val="Tahoma"/>
            <family val="2"/>
          </rPr>
          <t>PS no trong ky 461 
PS no trong ky 161</t>
        </r>
      </text>
    </comment>
    <comment ref="F534" authorId="0">
      <text>
        <r>
          <rPr>
            <b/>
            <sz val="8"/>
            <rFont val="Tahoma"/>
            <family val="0"/>
          </rPr>
          <t>VNN.R9:</t>
        </r>
        <r>
          <rPr>
            <sz val="8"/>
            <rFont val="Tahoma"/>
            <family val="0"/>
          </rPr>
          <t xml:space="preserve">
</t>
        </r>
        <r>
          <rPr>
            <sz val="12"/>
            <rFont val="Tahoma"/>
            <family val="2"/>
          </rPr>
          <t>PS co TK 461</t>
        </r>
      </text>
    </comment>
    <comment ref="F216" authorId="0">
      <text>
        <r>
          <rPr>
            <b/>
            <sz val="8"/>
            <rFont val="Tahoma"/>
            <family val="0"/>
          </rPr>
          <t>VNN.R9:</t>
        </r>
        <r>
          <rPr>
            <sz val="8"/>
            <rFont val="Tahoma"/>
            <family val="0"/>
          </rPr>
          <t xml:space="preserve">
</t>
        </r>
        <r>
          <rPr>
            <sz val="12"/>
            <rFont val="Tahoma"/>
            <family val="2"/>
          </rPr>
          <t>ma so 135 BCDKT</t>
        </r>
      </text>
    </comment>
    <comment ref="F429" authorId="0">
      <text>
        <r>
          <rPr>
            <b/>
            <sz val="8"/>
            <rFont val="Tahoma"/>
            <family val="0"/>
          </rPr>
          <t>VNN.R9:</t>
        </r>
        <r>
          <rPr>
            <sz val="8"/>
            <rFont val="Tahoma"/>
            <family val="0"/>
          </rPr>
          <t xml:space="preserve">
</t>
        </r>
        <r>
          <rPr>
            <sz val="12"/>
            <rFont val="Tahoma"/>
            <family val="2"/>
          </rPr>
          <t>ma so 319 BCDKT</t>
        </r>
      </text>
    </comment>
    <comment ref="G429" authorId="0">
      <text>
        <r>
          <rPr>
            <b/>
            <sz val="8"/>
            <rFont val="Tahoma"/>
            <family val="0"/>
          </rPr>
          <t>VNN.R9:</t>
        </r>
        <r>
          <rPr>
            <sz val="8"/>
            <rFont val="Tahoma"/>
            <family val="0"/>
          </rPr>
          <t xml:space="preserve">
</t>
        </r>
        <r>
          <rPr>
            <sz val="12"/>
            <rFont val="Tahoma"/>
            <family val="2"/>
          </rPr>
          <t>ma so 319 BCDKT</t>
        </r>
      </text>
    </comment>
    <comment ref="G216" authorId="0">
      <text>
        <r>
          <rPr>
            <b/>
            <sz val="8"/>
            <rFont val="Tahoma"/>
            <family val="0"/>
          </rPr>
          <t>VNN.R9:</t>
        </r>
        <r>
          <rPr>
            <sz val="8"/>
            <rFont val="Tahoma"/>
            <family val="0"/>
          </rPr>
          <t xml:space="preserve">
</t>
        </r>
        <r>
          <rPr>
            <sz val="12"/>
            <rFont val="Tahoma"/>
            <family val="2"/>
          </rPr>
          <t>ma so 135 BCDKT</t>
        </r>
      </text>
    </comment>
    <comment ref="F581" authorId="0">
      <text>
        <r>
          <rPr>
            <b/>
            <sz val="8"/>
            <rFont val="Tahoma"/>
            <family val="0"/>
          </rPr>
          <t>VNN.R9:</t>
        </r>
        <r>
          <rPr>
            <sz val="8"/>
            <rFont val="Tahoma"/>
            <family val="0"/>
          </rPr>
          <t xml:space="preserve">
</t>
        </r>
        <r>
          <rPr>
            <sz val="10"/>
            <rFont val="Tahoma"/>
            <family val="2"/>
          </rPr>
          <t>5115001
5115002
tru ky phieu</t>
        </r>
      </text>
    </comment>
    <comment ref="F582" authorId="0">
      <text>
        <r>
          <rPr>
            <b/>
            <sz val="8"/>
            <rFont val="Tahoma"/>
            <family val="0"/>
          </rPr>
          <t>VNN.R9:</t>
        </r>
        <r>
          <rPr>
            <sz val="8"/>
            <rFont val="Tahoma"/>
            <family val="0"/>
          </rPr>
          <t xml:space="preserve">
</t>
        </r>
        <r>
          <rPr>
            <sz val="10"/>
            <rFont val="Tahoma"/>
            <family val="2"/>
          </rPr>
          <t xml:space="preserve">5115011
</t>
        </r>
      </text>
    </comment>
    <comment ref="F584" authorId="0">
      <text>
        <r>
          <rPr>
            <b/>
            <sz val="8"/>
            <rFont val="Tahoma"/>
            <family val="0"/>
          </rPr>
          <t>VNN.R9:</t>
        </r>
        <r>
          <rPr>
            <sz val="8"/>
            <rFont val="Tahoma"/>
            <family val="0"/>
          </rPr>
          <t xml:space="preserve">
</t>
        </r>
        <r>
          <rPr>
            <sz val="10"/>
            <rFont val="Tahoma"/>
            <family val="2"/>
          </rPr>
          <t xml:space="preserve">5115003
</t>
        </r>
      </text>
    </comment>
    <comment ref="F586" authorId="0">
      <text>
        <r>
          <rPr>
            <b/>
            <sz val="8"/>
            <rFont val="Tahoma"/>
            <family val="0"/>
          </rPr>
          <t>VNN.R9:</t>
        </r>
        <r>
          <rPr>
            <sz val="8"/>
            <rFont val="Tahoma"/>
            <family val="0"/>
          </rPr>
          <t xml:space="preserve">
</t>
        </r>
        <r>
          <rPr>
            <sz val="10"/>
            <rFont val="Tahoma"/>
            <family val="2"/>
          </rPr>
          <t xml:space="preserve">5115004
</t>
        </r>
      </text>
    </comment>
    <comment ref="F587" authorId="0">
      <text>
        <r>
          <rPr>
            <b/>
            <sz val="8"/>
            <rFont val="Tahoma"/>
            <family val="0"/>
          </rPr>
          <t>VNN.R9:</t>
        </r>
        <r>
          <rPr>
            <sz val="8"/>
            <rFont val="Tahoma"/>
            <family val="0"/>
          </rPr>
          <t xml:space="preserve">
</t>
        </r>
        <r>
          <rPr>
            <sz val="10"/>
            <rFont val="Tahoma"/>
            <family val="2"/>
          </rPr>
          <t xml:space="preserve">5115005
</t>
        </r>
      </text>
    </comment>
    <comment ref="F589" authorId="0">
      <text>
        <r>
          <rPr>
            <b/>
            <sz val="8"/>
            <rFont val="Tahoma"/>
            <family val="0"/>
          </rPr>
          <t>VNN.R9:</t>
        </r>
        <r>
          <rPr>
            <sz val="8"/>
            <rFont val="Tahoma"/>
            <family val="0"/>
          </rPr>
          <t xml:space="preserve">
</t>
        </r>
        <r>
          <rPr>
            <sz val="10"/>
            <rFont val="Tahoma"/>
            <family val="2"/>
          </rPr>
          <t>5115006
5115007
5115008
5115009
5115010
5115012
5115013
5115014
5115015</t>
        </r>
      </text>
    </comment>
    <comment ref="F380" authorId="0">
      <text>
        <r>
          <rPr>
            <b/>
            <sz val="8"/>
            <rFont val="Tahoma"/>
            <family val="0"/>
          </rPr>
          <t>VNN.R9:</t>
        </r>
        <r>
          <rPr>
            <sz val="8"/>
            <rFont val="Tahoma"/>
            <family val="0"/>
          </rPr>
          <t xml:space="preserve">
</t>
        </r>
        <r>
          <rPr>
            <sz val="10"/>
            <rFont val="Tahoma"/>
            <family val="2"/>
          </rPr>
          <t>ca nhan 300.000.000</t>
        </r>
      </text>
    </comment>
    <comment ref="F551" authorId="0">
      <text>
        <r>
          <rPr>
            <b/>
            <sz val="8"/>
            <rFont val="Tahoma"/>
            <family val="0"/>
          </rPr>
          <t>VNN.R9:</t>
        </r>
        <r>
          <rPr>
            <sz val="8"/>
            <rFont val="Tahoma"/>
            <family val="0"/>
          </rPr>
          <t xml:space="preserve">
VAT TU
NHIEN LIEU</t>
        </r>
      </text>
    </comment>
    <comment ref="G551" authorId="0">
      <text>
        <r>
          <rPr>
            <b/>
            <sz val="8"/>
            <rFont val="Tahoma"/>
            <family val="0"/>
          </rPr>
          <t>VNN.R9:</t>
        </r>
        <r>
          <rPr>
            <sz val="8"/>
            <rFont val="Tahoma"/>
            <family val="0"/>
          </rPr>
          <t xml:space="preserve">
VAT TU
NHIEN LIEU</t>
        </r>
      </text>
    </comment>
    <comment ref="G548" authorId="1">
      <text>
        <r>
          <rPr>
            <b/>
            <sz val="8"/>
            <rFont val="Tahoma"/>
            <family val="0"/>
          </rPr>
          <t xml:space="preserve">ANH AN: </t>
        </r>
        <r>
          <rPr>
            <sz val="8"/>
            <rFont val="Tahoma"/>
            <family val="0"/>
          </rPr>
          <t xml:space="preserve">
</t>
        </r>
        <r>
          <rPr>
            <sz val="15"/>
            <rFont val="Tahoma"/>
            <family val="2"/>
          </rPr>
          <t xml:space="preserve">BANG TIEU  THU  CHE COT 2008 </t>
        </r>
      </text>
    </comment>
    <comment ref="G589" authorId="0">
      <text>
        <r>
          <rPr>
            <b/>
            <sz val="8"/>
            <rFont val="Tahoma"/>
            <family val="0"/>
          </rPr>
          <t>VNN.R9:</t>
        </r>
        <r>
          <rPr>
            <sz val="8"/>
            <rFont val="Tahoma"/>
            <family val="0"/>
          </rPr>
          <t xml:space="preserve">
</t>
        </r>
        <r>
          <rPr>
            <sz val="10"/>
            <rFont val="Tahoma"/>
            <family val="2"/>
          </rPr>
          <t>5115006
5115007
5115008
5115009
5115010
5115012
5115013
5115014
5115015</t>
        </r>
      </text>
    </comment>
  </commentList>
</comments>
</file>

<file path=xl/comments6.xml><?xml version="1.0" encoding="utf-8"?>
<comments xmlns="http://schemas.openxmlformats.org/spreadsheetml/2006/main">
  <authors>
    <author>VNN.R9</author>
    <author>ANH AN</author>
  </authors>
  <commentList>
    <comment ref="D80" authorId="0">
      <text>
        <r>
          <rPr>
            <b/>
            <sz val="8"/>
            <rFont val="Tahoma"/>
            <family val="0"/>
          </rPr>
          <t>VNN.R9:</t>
        </r>
        <r>
          <rPr>
            <sz val="8"/>
            <rFont val="Tahoma"/>
            <family val="0"/>
          </rPr>
          <t xml:space="preserve">
</t>
        </r>
        <r>
          <rPr>
            <sz val="12"/>
            <rFont val="Tahoma"/>
            <family val="2"/>
          </rPr>
          <t xml:space="preserve">co 138:                    
co 338: </t>
        </r>
      </text>
    </comment>
    <comment ref="D78" authorId="0">
      <text>
        <r>
          <rPr>
            <b/>
            <sz val="8"/>
            <rFont val="Tahoma"/>
            <family val="0"/>
          </rPr>
          <t>VNN.R9:</t>
        </r>
        <r>
          <rPr>
            <sz val="8"/>
            <rFont val="Tahoma"/>
            <family val="0"/>
          </rPr>
          <t xml:space="preserve">
</t>
        </r>
        <r>
          <rPr>
            <sz val="12"/>
            <rFont val="Tahoma"/>
            <family val="2"/>
          </rPr>
          <t>co 136: 0
co 336: 0</t>
        </r>
      </text>
    </comment>
    <comment ref="D20" authorId="0">
      <text>
        <r>
          <rPr>
            <b/>
            <sz val="8"/>
            <rFont val="Tahoma"/>
            <family val="0"/>
          </rPr>
          <t>VNN.R9:</t>
        </r>
        <r>
          <rPr>
            <sz val="8"/>
            <rFont val="Tahoma"/>
            <family val="0"/>
          </rPr>
          <t xml:space="preserve">
</t>
        </r>
        <r>
          <rPr>
            <sz val="12"/>
            <rFont val="Tahoma"/>
            <family val="2"/>
          </rPr>
          <t xml:space="preserve">no 136: 
no 336:            </t>
        </r>
      </text>
    </comment>
    <comment ref="D22" authorId="0">
      <text>
        <r>
          <rPr>
            <b/>
            <sz val="8"/>
            <rFont val="Tahoma"/>
            <family val="0"/>
          </rPr>
          <t>VNN.R9:</t>
        </r>
        <r>
          <rPr>
            <sz val="8"/>
            <rFont val="Tahoma"/>
            <family val="0"/>
          </rPr>
          <t xml:space="preserve">
</t>
        </r>
        <r>
          <rPr>
            <sz val="12"/>
            <rFont val="Tahoma"/>
            <family val="2"/>
          </rPr>
          <t xml:space="preserve">no 138: 
no 338:      </t>
        </r>
      </text>
    </comment>
    <comment ref="E20" authorId="0">
      <text>
        <r>
          <rPr>
            <b/>
            <sz val="8"/>
            <rFont val="Tahoma"/>
            <family val="0"/>
          </rPr>
          <t>VNN.R9:</t>
        </r>
        <r>
          <rPr>
            <sz val="8"/>
            <rFont val="Tahoma"/>
            <family val="0"/>
          </rPr>
          <t xml:space="preserve">
</t>
        </r>
        <r>
          <rPr>
            <sz val="12"/>
            <rFont val="Tahoma"/>
            <family val="2"/>
          </rPr>
          <t>no 136: 0
no 336: 0</t>
        </r>
      </text>
    </comment>
    <comment ref="E78" authorId="0">
      <text>
        <r>
          <rPr>
            <b/>
            <sz val="8"/>
            <rFont val="Tahoma"/>
            <family val="0"/>
          </rPr>
          <t>VNN.R9:</t>
        </r>
        <r>
          <rPr>
            <sz val="8"/>
            <rFont val="Tahoma"/>
            <family val="0"/>
          </rPr>
          <t xml:space="preserve">
</t>
        </r>
        <r>
          <rPr>
            <sz val="12"/>
            <rFont val="Tahoma"/>
            <family val="2"/>
          </rPr>
          <t>co 136:                       0
co 336: 194.192.681.279</t>
        </r>
      </text>
    </comment>
    <comment ref="E22" authorId="0">
      <text>
        <r>
          <rPr>
            <b/>
            <sz val="8"/>
            <rFont val="Tahoma"/>
            <family val="0"/>
          </rPr>
          <t>VNN.R9:</t>
        </r>
        <r>
          <rPr>
            <sz val="8"/>
            <rFont val="Tahoma"/>
            <family val="0"/>
          </rPr>
          <t xml:space="preserve">
</t>
        </r>
        <r>
          <rPr>
            <sz val="12"/>
            <rFont val="Tahoma"/>
            <family val="2"/>
          </rPr>
          <t xml:space="preserve">no 138: 
no 338:      </t>
        </r>
      </text>
    </comment>
    <comment ref="E80" authorId="0">
      <text>
        <r>
          <rPr>
            <b/>
            <sz val="8"/>
            <rFont val="Tahoma"/>
            <family val="0"/>
          </rPr>
          <t>VNN.R9:</t>
        </r>
        <r>
          <rPr>
            <sz val="8"/>
            <rFont val="Tahoma"/>
            <family val="0"/>
          </rPr>
          <t xml:space="preserve">
</t>
        </r>
        <r>
          <rPr>
            <sz val="12"/>
            <rFont val="Tahoma"/>
            <family val="2"/>
          </rPr>
          <t xml:space="preserve">co 138:                    
co 338: </t>
        </r>
      </text>
    </comment>
    <comment ref="K64" authorId="1">
      <text>
        <r>
          <rPr>
            <b/>
            <sz val="8"/>
            <rFont val="Tahoma"/>
            <family val="0"/>
          </rPr>
          <t>ANH AN:</t>
        </r>
        <r>
          <rPr>
            <sz val="8"/>
            <rFont val="Tahoma"/>
            <family val="0"/>
          </rPr>
          <t xml:space="preserve">
tam ung LONG
111.122.402</t>
        </r>
      </text>
    </comment>
  </commentList>
</comments>
</file>

<file path=xl/comments7.xml><?xml version="1.0" encoding="utf-8"?>
<comments xmlns="http://schemas.openxmlformats.org/spreadsheetml/2006/main">
  <authors>
    <author>VNN.R9</author>
  </authors>
  <commentList>
    <comment ref="C39" authorId="0">
      <text>
        <r>
          <rPr>
            <b/>
            <sz val="8"/>
            <rFont val="Tahoma"/>
            <family val="0"/>
          </rPr>
          <t>VNN.R9:</t>
        </r>
        <r>
          <rPr>
            <sz val="8"/>
            <rFont val="Tahoma"/>
            <family val="0"/>
          </rPr>
          <t xml:space="preserve">
</t>
        </r>
        <r>
          <rPr>
            <sz val="11"/>
            <rFont val="Tahoma"/>
            <family val="2"/>
          </rPr>
          <t>tru tien cuoi ky ma so 110</t>
        </r>
      </text>
    </comment>
  </commentList>
</comments>
</file>

<file path=xl/sharedStrings.xml><?xml version="1.0" encoding="utf-8"?>
<sst xmlns="http://schemas.openxmlformats.org/spreadsheetml/2006/main" count="1418" uniqueCount="1171">
  <si>
    <t>Caùc khoaûn ñöôïc chia khaùc (ngoaøi LN thuaàn) ñöôïc coi laø phaàn thu hoài caùc khoaûn ñaàu tö vaø ñöôïc ghi nhaän laø khoaûn giaûm tröø giaù goác ñaàu tö.</t>
  </si>
  <si>
    <t>ñöôïc ghi nhaän theo nguyeân giaù, hao moøn luõy keá vaø giaù trò coøn laïi.</t>
  </si>
  <si>
    <t>giaù goác haøng toàn kho lôùn hôn giaù trò thuaàn coù theå thöïc hieän ñöôïc cuûa chuùng.</t>
  </si>
  <si>
    <t>kho phaùt sinh trong quaù trình mua haøng;</t>
  </si>
  <si>
    <t xml:space="preserve"> -Chi phí baûo quaûn haøng toàn kho tröø caùc chi phí baûo quaûn haøng toàn kho caàn thieát cho quaù trình saûn xuaát tieáp theo vaø chi phí baûo quaûn haøng toàn </t>
  </si>
  <si>
    <t xml:space="preserve">thì phaûi tính theo giaù trò thuaàn coù theå thöïc hieän ñöôïc. Giaù goác haøng toàn kho bao goàm chi phí mua, chi phí cheá bieán vaø caùc chi phí lieân quan tröïc </t>
  </si>
  <si>
    <t>tieáp khaùc phaùt sinh ñeå coù ñöôïc haøng toàn kho ôû ñòa ñieåm vaø traïng thaùi hieän taïi.</t>
  </si>
  <si>
    <t>Giaù goác cuûa haøng toàn kho mua ngoaøi bao goàm giaù mua, caùc loaïi thueá khoâng ñöôïc hoaøn laïi, chi phí vaän chuyeån, boác xeáp, baûo quaûn trong quaù trình</t>
  </si>
  <si>
    <t xml:space="preserve">     +Laõi cheânh leäch tyû giaù ñaõ thöïc hieän (Laõi cheânh leäch tyû giaù hoái ñoaùi do ñaùnh giaù laïi caùc TK)</t>
  </si>
  <si>
    <t>Giaù goác cuûa haøng toàn kho do ñôn vò töï saûn xuaát bao goàm chi phí nguyeân lieäu vaät lieäu tröïc tieáp, chi phí nhaân coâng tröïc tieáp, chi phí saûn xuaát chung</t>
  </si>
  <si>
    <t>chuyeån vaøo doanh thu hoaëc chi phí taøi chính trong naêm taøi chính.</t>
  </si>
  <si>
    <t xml:space="preserve">Cheânh leäch tyû giaù thöïc teá phaùt sinh trong kyø vaø cheânh leäch tyû giaù do ñaùnh giaù laïi soá dö caùc khoaûn muïc tieàn teä taïi thôøi ñieåm cuoái naêm ñöôïc keát </t>
  </si>
  <si>
    <t>goác ngoaïi teä ñöôïc quy ñoåi theo tyû giaù bình quaân lieân ngaân haøng do Ngaân haøng Nhaø nöôùc Vieät Nam coâng boá vaøo ngaøy keát thuùc nieân ñoä keá toaùn.</t>
  </si>
  <si>
    <t>ñöôïc quy ñoåi ra ñoàng Vieät Nam theo tyû giaù giao dòch thöïc teá taïi thôøi ñieåm phaùt sinh nghieäp vuï. Taïi thôøi ñieåm cuoái naêm caùc khoaûn muïc tieàn teä coù</t>
  </si>
  <si>
    <t>tieàn vaø khoâng coù nhieàu ruûi ro trong chuyeån ñoåi thaønh tieàn keå töø ngaøy mua khoaûn ñaàu tö ñoù taïi thôøi ñieåm baùo caùo.</t>
  </si>
  <si>
    <t xml:space="preserve"> -Quyõ döï phoøng taøi chính</t>
  </si>
  <si>
    <t xml:space="preserve"> 5. Tieàn thueâ ñaát XD</t>
  </si>
  <si>
    <t xml:space="preserve">                LAÄP BIEÅU  </t>
  </si>
  <si>
    <t xml:space="preserve">   -Thueá GTGT ñaàu ra:</t>
  </si>
  <si>
    <t xml:space="preserve">   -Thueá GTGT phaûi noäp:</t>
  </si>
  <si>
    <t xml:space="preserve">   -Thueá GTGT ñaàu vaøo phaùt sinh:</t>
  </si>
  <si>
    <t xml:space="preserve">   -Thueá GTGT ñaàu vaøo ñöôïc khaáu tröø:</t>
  </si>
  <si>
    <r>
      <t>2.3</t>
    </r>
    <r>
      <rPr>
        <sz val="12"/>
        <rFont val="VNI-Times"/>
        <family val="0"/>
      </rPr>
      <t xml:space="preserve"> -Phöông phaùp haïch toaùn haøng toàn kho: Coâng ty aùp duïng phöông phaùp keâ khai thöôøng xuyeân.</t>
    </r>
  </si>
  <si>
    <r>
      <t>2.4</t>
    </r>
    <r>
      <rPr>
        <sz val="12"/>
        <rFont val="VNI-Times"/>
        <family val="0"/>
      </rPr>
      <t xml:space="preserve"> -Phöông phaùp laäp döï phoøng giaûm giaù haøng toàn kho: Döï phoøng giaûm giaù haøng toàn kho ñöôïc laäp vaøo thôøi ñieåm cuoái naêm laø soá cheânh leäch giöõa</t>
    </r>
  </si>
  <si>
    <r>
      <t>3.1</t>
    </r>
    <r>
      <rPr>
        <sz val="12"/>
        <rFont val="VNI-Times"/>
        <family val="0"/>
      </rPr>
      <t xml:space="preserve"> -Nguyeân taéc ghi nhaän TSCÑ höõu hình, TSCÑ voâ hình: Taøi saûn coá ñònh ñöôïc ghi nhaän theo giaù goác. Trong quaù trình söû duïng, taøi saûn coá ñònh</t>
    </r>
  </si>
  <si>
    <r>
      <t>3.2</t>
    </r>
    <r>
      <rPr>
        <sz val="12"/>
        <rFont val="VNI-Times"/>
        <family val="0"/>
      </rPr>
      <t xml:space="preserve"> -Phöông phaùp khaáu hao TSCÑ höõu hình, TSCÑ voâ hình: Khaáu hao ñöôïc trích theo ñöôøng thaúng. Thôøi gian khaáu hao ñöôïc öôùc tính nhö sau:</t>
    </r>
  </si>
  <si>
    <r>
      <t>5.1</t>
    </r>
    <r>
      <rPr>
        <sz val="12"/>
        <rFont val="VNI-Times"/>
        <family val="0"/>
      </rPr>
      <t xml:space="preserve"> -Nguyeân taéc ghi nhaän caùc khoaûn ñaàu tö vaøo coâng ty con, coâng ty lieân keát: Khoaûn ñaàu tö vaøo coâng ty con, coâng ty lieân keát ñöôïc keá toaùn theo</t>
    </r>
  </si>
  <si>
    <r>
      <t>5.2</t>
    </r>
    <r>
      <rPr>
        <sz val="12"/>
        <rFont val="VNI-Times"/>
        <family val="0"/>
      </rPr>
      <t xml:space="preserve"> -Nguyeân taéc ghi nhaän caùc khoaûn ñaàu tö chöùng khoaùn ngaén haïn, daøi haïn: Caùc khoaûn ñaàu tö chöùng khoaùn taïi thôøi ñieåm baùo caùo, neáu:</t>
    </r>
  </si>
  <si>
    <r>
      <t>5.3</t>
    </r>
    <r>
      <rPr>
        <sz val="12"/>
        <rFont val="VNI-Times"/>
        <family val="0"/>
      </rPr>
      <t xml:space="preserve"> -Nguyeân taéc ghi nhaän caùc khoaûn ñaàu tö ngaén haïn, daøi haïn khaùc: caùc khoaûn ñaàu tö khaùc taïi thôøi ñieåm baùo caùo, neáu:</t>
    </r>
  </si>
  <si>
    <r>
      <t>5.4</t>
    </r>
    <r>
      <rPr>
        <sz val="12"/>
        <rFont val="VNI-Times"/>
        <family val="0"/>
      </rPr>
      <t xml:space="preserve"> -Phöông phaùp laäp döï phoøng giaûm giaù ñaàu tö chöùng khoaùn ngaén haïn, daøi haïn: Döï phoøng giaûm giaù ñaàu tö ñöôïc laäp vaøo thôøi ñieåm cuoái naêm laø </t>
    </r>
  </si>
  <si>
    <r>
      <t>6.1</t>
    </r>
    <r>
      <rPr>
        <sz val="12"/>
        <rFont val="VNI-Times"/>
        <family val="0"/>
      </rPr>
      <t xml:space="preserve"> -Nguyeân taéc voán hoùa caùc khoaûn chi phí ñi vay: Chi phí ñi vay lieân quan tröïc tieáp ñeán vieäc ñaàu tö xaây döïng hoaëc saûn xuaát taøi saûn dôû dang </t>
    </r>
  </si>
  <si>
    <t xml:space="preserve">       Coâng ty aùp duïng cheá ñoä keá toaùn Vieät Nam ban haønh theo Quyeát ñònh soá 15/2006-QÑ/BTC ngaøy 01/11/1995, QÑ soá 167/2000/QÑ-BTC ngaøy 20/03/2006</t>
  </si>
  <si>
    <t>cuûa Boä Taøi chính, Chuaån möïc keá toaùn Vieät Nam do Boä Taøi chính ban haønh vaø caùc vaên baûn söûa ñoåi, boå sung, höôùng daãn thöïc hieän keøm theo.</t>
  </si>
  <si>
    <t xml:space="preserve">        Coâng ty TNHH moät thaønh vieân Cao su Taây Ninh ñöôïc thaønh laäp theo Quyeát ñònh soá 93/2004/QÑ-TTg ngaøy 27 thaùng 05 naêm 2004 cuûa Thuû </t>
  </si>
  <si>
    <t>töôùng Chính phuû, Toång Coâng ty Cao su Vieät Nam laø Chuû sôû höõu.</t>
  </si>
  <si>
    <t xml:space="preserve"> -Taïo ra töø noäi boä doanh nghieäp</t>
  </si>
  <si>
    <t xml:space="preserve"> -Cho vay daøi haïn</t>
  </si>
  <si>
    <t>a</t>
  </si>
  <si>
    <t>b</t>
  </si>
  <si>
    <t>c</t>
  </si>
  <si>
    <t>13-Ñaàu tö daøi haïn khaùc:</t>
  </si>
  <si>
    <t xml:space="preserve"> -Taïi ngaøy cuoái naêm</t>
  </si>
  <si>
    <t>Maùy moùc</t>
  </si>
  <si>
    <t>thieát bò</t>
  </si>
  <si>
    <t>Bieåu 11</t>
  </si>
  <si>
    <t>taûi truyeàn daãn</t>
  </si>
  <si>
    <t>Phöông tieän vaän</t>
  </si>
  <si>
    <t xml:space="preserve"> Phaûi thu veà coå phaàn hoùa</t>
  </si>
  <si>
    <t xml:space="preserve"> Chi phí SXKD dôû dang (Coâng trình ngoaøi)</t>
  </si>
  <si>
    <t xml:space="preserve"> Haøng hoùa kho baûo thueá</t>
  </si>
  <si>
    <t xml:space="preserve"> Ñaàu tö vaøo coâng ty lieân keát</t>
  </si>
  <si>
    <t xml:space="preserve"> Traùi phieáu</t>
  </si>
  <si>
    <t xml:space="preserve"> Coå phieáu</t>
  </si>
  <si>
    <t>Taøi saûn thueá thu nhaäp hoaõn laïi</t>
  </si>
  <si>
    <t>Thueá thu nhaäp hoaõn laïi phaûi traû</t>
  </si>
  <si>
    <t>Quyõ döï phoøng trôï caáp maát vieäc laøm</t>
  </si>
  <si>
    <t>18-Caùc khoaûn phaûi traû, phaûi noäp ngaén haïn khaùc:</t>
  </si>
  <si>
    <t xml:space="preserve"> -Phaûi traû veà coå phaàn hoùa</t>
  </si>
  <si>
    <t xml:space="preserve"> -Nhaän kyù quyõ, kyù cöôïc ngaén haïn</t>
  </si>
  <si>
    <t xml:space="preserve"> -……………………………………</t>
  </si>
  <si>
    <t>20-Vay vaø nôï daøi haïn:</t>
  </si>
  <si>
    <t>a-Vay daøi haïn</t>
  </si>
  <si>
    <t>b-Nôï daøi haïn</t>
  </si>
  <si>
    <t xml:space="preserve"> -Caùc khoaûn nôï thueâ taøi chính</t>
  </si>
  <si>
    <t>Toång khoaûn</t>
  </si>
  <si>
    <t>thanh toaùn tieàn</t>
  </si>
  <si>
    <t>thueâ taøi chính</t>
  </si>
  <si>
    <t>Traû</t>
  </si>
  <si>
    <t>tieàn laõi</t>
  </si>
  <si>
    <t>thueâ</t>
  </si>
  <si>
    <t>nôï</t>
  </si>
  <si>
    <t>goác</t>
  </si>
  <si>
    <t>Thôøi haïn</t>
  </si>
  <si>
    <t>Töø 1 naêm trôû xuoáng</t>
  </si>
  <si>
    <t>Treân 1 naêm ñeán 5 naêm</t>
  </si>
  <si>
    <t>Treân 5 naêm</t>
  </si>
  <si>
    <t>a-Taøi saûn thueá thu nhaäp hoaõn laïi</t>
  </si>
  <si>
    <t xml:space="preserve"> -Taøi saûn thueá thu nhaäp hoaõn laïi lieân quan ñeán khoaûn cheânh leäch taïm thôøi ñöôïc khaáu tröø</t>
  </si>
  <si>
    <t xml:space="preserve"> -Taøi saûn thueá thu nhaäp hoaõn laïi lieân quan ñeán khoaûn öu ñaõi tính thueá chöa söû duïng</t>
  </si>
  <si>
    <t xml:space="preserve">           Coâng ty aùp duïng caùc Chuaån möïc keá toaùn Vieät Nam vaø caùc vaên baûnhöôùng daãn chuaån möïc do Nhaø nöôùc ñaõ ban haønh. Caùc baùo caùo taøi chính</t>
  </si>
  <si>
    <t>ñöôïc laäp vaø trình baøy theo ñuùng qui ñònh cuûa töøng chuaån möïc, thoâng tö höôùng daãn thöïc hieän chuaån möïc vaø cheá ñoä keá toaùn hieän haønh aùp duïng.</t>
  </si>
  <si>
    <t xml:space="preserve"> -Tyû giaù lieân ngaân haøng do Ngaân haøng Nhaø nöôùc Vieät Nam coâng boá taïi ngaøy 28/12/2006 laø 16.091 ñoàng/USD.</t>
  </si>
  <si>
    <t>Vöôøn caây cao su: Tyû leä khaáu hao ñöôïc thöïc hieän theo Coâng vaên soá 42/TCDN/NV3 ngaøy 02/02/2005 cuûa Cuïc taøi chính doanh nghieäp-Boä Taøi chính</t>
  </si>
  <si>
    <t>v/v Ñieàu chænh khaáu hao vöôøn caây vaø Coâng vaên soá 165/QÑ-TCKT ngaøy 21/02/2005 cuûa Toång Coâng ty Cao su Vieät Nam v/v Ban haønh tyû leä trích</t>
  </si>
  <si>
    <t xml:space="preserve"> TGNH No&amp;PTNT CN Phan Ñình Phuøng</t>
  </si>
  <si>
    <t xml:space="preserve"> TG SGDII NH Coâng thöông VN</t>
  </si>
  <si>
    <t xml:space="preserve"> TGNH USD-SGD II (kyù quyõ)</t>
  </si>
  <si>
    <t xml:space="preserve"> TGNH TMCP Saøi Goøn Thöông tín Taây Ninh</t>
  </si>
  <si>
    <t>0073</t>
  </si>
  <si>
    <t xml:space="preserve"> khaáu hao vöôøn caây cao su theo chu kyø khai thaùc 20 naêm, cuï theå:</t>
  </si>
  <si>
    <t>Naêm khai thaùc</t>
  </si>
  <si>
    <t xml:space="preserve">        -Naêm thöù 1</t>
  </si>
  <si>
    <t>14-Chi phí traû tröôùc daøi haïn:</t>
  </si>
  <si>
    <t>15-Vay vaø nôï ngaén haïn:</t>
  </si>
  <si>
    <t xml:space="preserve"> -Nôï daøi haïn ñeán haïn traû</t>
  </si>
  <si>
    <t xml:space="preserve"> -Chi phí phaûi traû khaùc</t>
  </si>
  <si>
    <t xml:space="preserve"> -Chi phí söûa chöõa lôùn TSCÑ</t>
  </si>
  <si>
    <t xml:space="preserve"> -Chi phí trong thôøi gian ngöøng kinh doanh</t>
  </si>
  <si>
    <t xml:space="preserve"> -Traùi phieáu phaùt haønh</t>
  </si>
  <si>
    <t xml:space="preserve">Soá dö cuoái naêm tröôùc </t>
  </si>
  <si>
    <t>Soá dö ñaàu naêm nay</t>
  </si>
  <si>
    <t xml:space="preserve">CHÆ TIEÂU </t>
  </si>
  <si>
    <t>Soá coøn phaûi noäp</t>
  </si>
  <si>
    <t xml:space="preserve">Soá </t>
  </si>
  <si>
    <t>kyø tröôùc</t>
  </si>
  <si>
    <t>phaûi noäp</t>
  </si>
  <si>
    <t>ñaõ noäp</t>
  </si>
  <si>
    <t xml:space="preserve">ñeán cuoái kyø naøy </t>
  </si>
  <si>
    <t>(300 = 310 + 330)</t>
  </si>
  <si>
    <t xml:space="preserve">   5. Phaûi traû ngöôøi lao ñoäng</t>
  </si>
  <si>
    <t xml:space="preserve">   9. Caùc khoaûn phaûi traû, phaûi noäp ngaén haïn khaùc</t>
  </si>
  <si>
    <t xml:space="preserve"> 10. Döï phoøng phaûi traû ngaén haïn</t>
  </si>
  <si>
    <t xml:space="preserve">   -Chi phí chuyeån ñòa ñieåm, chi phí toå chöùc laïi doanh nghieäp;</t>
  </si>
  <si>
    <t xml:space="preserve"> Chi phí SXKD dôû dang (SX Troàng troït)</t>
  </si>
  <si>
    <t xml:space="preserve"> Chi phí SXKD dôû dang (SX CB Coám)</t>
  </si>
  <si>
    <t xml:space="preserve"> Chi phí SXKD dôû dang (SX CB kem)</t>
  </si>
  <si>
    <t xml:space="preserve"> Chi phí SXKD dôû dang (SX phuï)</t>
  </si>
  <si>
    <t xml:space="preserve"> Thaønh phaåm</t>
  </si>
  <si>
    <t xml:space="preserve"> TP Muû coám Cty </t>
  </si>
  <si>
    <t xml:space="preserve"> TP Muû coám Gia coâng</t>
  </si>
  <si>
    <t>I-Nguyeân giaù TSCÑ höõu hình</t>
  </si>
  <si>
    <t>II-Giaù trò hao moøn luõy keá</t>
  </si>
  <si>
    <t>III-GTCL cuûa TSCÑ höõu hình</t>
  </si>
  <si>
    <t xml:space="preserve"> Chi söï nghieäp</t>
  </si>
  <si>
    <t xml:space="preserve"> TSCÑ höõu hình</t>
  </si>
  <si>
    <t xml:space="preserve"> Hao moøn TSCÑ</t>
  </si>
  <si>
    <t xml:space="preserve"> Ñaàu tö daøi haïn khaùc</t>
  </si>
  <si>
    <t xml:space="preserve"> XDCB dôû dang</t>
  </si>
  <si>
    <t xml:space="preserve">LOAÏI III: NÔÏ PHAÛI TRAÛ </t>
  </si>
  <si>
    <t xml:space="preserve"> Nôï daøi haïn ñeán haïn traû </t>
  </si>
  <si>
    <t xml:space="preserve"> Phaûi traû cho ngöôøi baùn</t>
  </si>
  <si>
    <t xml:space="preserve"> Ñaõ traû </t>
  </si>
  <si>
    <t xml:space="preserve"> Phaûi traû </t>
  </si>
  <si>
    <t xml:space="preserve"> -Loã trong naêm tröôùc</t>
  </si>
  <si>
    <t xml:space="preserve"> -Loã trong naêm nay</t>
  </si>
  <si>
    <t xml:space="preserve"> Döï phoøng phaûi thu khoù ñoøi</t>
  </si>
  <si>
    <t>Trong ñoù:</t>
  </si>
  <si>
    <t xml:space="preserve"> Tieàn thueâ ñaát</t>
  </si>
  <si>
    <t xml:space="preserve"> Quyõ ñaàu tö phaùt trieån </t>
  </si>
  <si>
    <t xml:space="preserve"> 3. Thueá TNDN</t>
  </si>
  <si>
    <t xml:space="preserve"> Thueá moân baøi</t>
  </si>
  <si>
    <t xml:space="preserve">   -Chi phí chaïy thöû coù taûi, saûn xuaát thöû phaùt sinh lôùn;</t>
  </si>
  <si>
    <t xml:space="preserve">   -Coâng cuï duïng cuï xuaát duøng coù giaù trò lôùn;</t>
  </si>
  <si>
    <t xml:space="preserve">   -Loã cheânh leäch tyû giaù cuûa giai ñoaïn ñaàu tö xaây döïng cô baûn;</t>
  </si>
  <si>
    <t xml:space="preserve">    -Phaàn lôùn ruûi ro vaø lôïi ích gaén lieàn vôùi quyeàn sôû höõu saûn phaåm hoaëc haøng hoùa ñaõ ñöôïc chuyeån giao cho ngöôøi mua;</t>
  </si>
  <si>
    <t xml:space="preserve">    -Coâng ty khoâng coøn naém giöõ quyeàn quaûn lyù haøng hoùa hoaëc quyeàn kieåm soaùt haøng hoùa;</t>
  </si>
  <si>
    <t xml:space="preserve">    -Doanh thu ñöôïc xaùc ñònh töông ñoái chaéc chaén;</t>
  </si>
  <si>
    <t xml:space="preserve">    -Coâng ty ñaõ thu ñöôïc hoaëc seõ thu ñöôïc lôïi ích kinh teá töø giao dòch baùn haøng;</t>
  </si>
  <si>
    <t xml:space="preserve">    -Xaùc ñònh ñöôïc chi phí lieân quan ñeán giao dòch baùn haøng.</t>
  </si>
  <si>
    <t xml:space="preserve">   -Doanh thu ñöôïc xaùc ñònh töông ñoái chaéc chaén;</t>
  </si>
  <si>
    <t xml:space="preserve">   -Coù khaû naêng thu ñöôïc lôïi ích kinh teá töø giao dòch cung caáp dòch vuï ñoù;</t>
  </si>
  <si>
    <t xml:space="preserve">   -Xaùc ñònh ñöôïc phaàn coâng vieäc ñaõ hoaøn thaønh vaøo ngaøy laäp Baûng caân ñoái keá toaùn;</t>
  </si>
  <si>
    <t xml:space="preserve">   -Xaùc ñònh ñöôïc chi phí phaùt sinh cho giao dòch vaø chi phí ñeå hoaøn thaønh giao dòch cung caáp dòch vuï ñoù.</t>
  </si>
  <si>
    <t xml:space="preserve"> TGNH Coâng thöông CN khu CN Traûng Baøng</t>
  </si>
  <si>
    <t xml:space="preserve"> Chi phí SXKD dôû dang (NM SXTP)</t>
  </si>
  <si>
    <t>Phaàn coâng vieäc cung caáp dòch vuï ñaõ hoaøn thaønh ñöôïc xaùc ñònh theo phöông phaùp ñaùnh giaù coâng vieäc hoaøn thaønh.</t>
  </si>
  <si>
    <t xml:space="preserve">   -Coù khaû naêng thu ñöôïc lôïi ích kinh teá töø giao dòch ñoù;</t>
  </si>
  <si>
    <t xml:space="preserve">   -Doanh thu ñöôïc xaùc ñònh töông ñoái chaéc chaén.</t>
  </si>
  <si>
    <t>Coå töùc, lôïi nhuaän ñöôïc chia ñöôïc ghi nhaän khi Coâng ty ñöôïc quyeàn nhaän coå töùc hoaëc ñöôïc quyeàn nhaän lôïi nhuaän töø vieäc goùp voán.</t>
  </si>
  <si>
    <t>ñöôïc ñaàu tö hoaëc caûi taïo naâng caáp ñoù.</t>
  </si>
  <si>
    <t>NAÊM NAY</t>
  </si>
  <si>
    <t>NAÊM TRÖÔÙC</t>
  </si>
  <si>
    <t>MUÛ COÂNG TY</t>
  </si>
  <si>
    <t>MUÛ THU MUA</t>
  </si>
  <si>
    <t>MUÛ GIA COÂNG</t>
  </si>
  <si>
    <t>XK tröïc tieáp</t>
  </si>
  <si>
    <t>CAÂY GIOÁNG</t>
  </si>
  <si>
    <t>VAÄN CHUYEÅN</t>
  </si>
  <si>
    <t>VAÄT TÖ</t>
  </si>
  <si>
    <t>TOÅNG COÄNG (A+B+C)</t>
  </si>
  <si>
    <t xml:space="preserve"> TP Muû latex Cty </t>
  </si>
  <si>
    <t xml:space="preserve"> KPCÑ 2%</t>
  </si>
  <si>
    <t>04</t>
  </si>
  <si>
    <t>Löu chuyeån tieàn thuaàn töø hoaït ñoäng ñaàu tö</t>
  </si>
  <si>
    <t>III-LÖU CHUYEÅN TIEÀN TÖØ HOAÏT ÑOÄNG TAØI CHÍNH</t>
  </si>
  <si>
    <t xml:space="preserve"> -Taøi saûn thueá thu nhaäp hoaõn laïi lieân quan ñeán khoaûn loã tính thueá chöa söû duïng</t>
  </si>
  <si>
    <t xml:space="preserve"> TGNH No&amp;PTNT Goø Daàu</t>
  </si>
  <si>
    <t xml:space="preserve"> TGNH No&amp;PTNT Goø Daàu (phaùt haønh CP)</t>
  </si>
  <si>
    <t xml:space="preserve"> TGNH Phoøng giao dòch Goø Daàu</t>
  </si>
  <si>
    <t xml:space="preserve"> TGNH ÑT&amp;PT  Taây Ninh</t>
  </si>
  <si>
    <t xml:space="preserve"> TG CN NH No&amp;PTNT SaøiGoøn</t>
  </si>
  <si>
    <t xml:space="preserve"> TG CN NH No&amp;PTNT SaøiGoøn (coù kyø haïn)</t>
  </si>
  <si>
    <t xml:space="preserve"> TG CN NH No&amp;PTNT SaøiGoøn (USD)</t>
  </si>
  <si>
    <t xml:space="preserve"> Ngoaïi teä (QTM)</t>
  </si>
  <si>
    <t>VI-Thoâng tin boå sung cho caùc khoaûn muïc trình baøy trong Baùo caùo keát quaû hoaït ñoäng kinh doanh:</t>
  </si>
  <si>
    <t>Löu chuyeån tieàn thuaàn trong kyø (50=20+30+40)</t>
  </si>
  <si>
    <t>Tieàn vaø töông ñöông tieàn cuoái kyø (70=50+60+61)</t>
  </si>
  <si>
    <t xml:space="preserve"> -Nguyeân taéc vaø phöông phaùp chuyeån ñoåi caùc ñoàng tieàn khaùc ra ñoàng tieàn söû duïng trong keá toaùn: Caùc nghieäp vuï kinh teá phaùt sinh baèng ngoaïi teä </t>
  </si>
  <si>
    <t xml:space="preserve"> -Nguyeân taéc xaùc ñònh caùc khoaûn töông ñöông tieàn: Laø caùc khoaûn ñaàu tö ngaén haïn khoâng quaù 3 thaùng coù khaû naêng chuyeån ñoåi deã daøng thaønh </t>
  </si>
  <si>
    <t xml:space="preserve"> -Nguyeân taéc ghi nhaän baát ñoäng saûn ñaàu tö;</t>
  </si>
  <si>
    <t xml:space="preserve"> -Phaûi thu veà laõi tieàn göûi, tieàn cho vay</t>
  </si>
  <si>
    <t xml:space="preserve"> -Phaûi thu veà laõi mua coâng traùi, traùi phieáu</t>
  </si>
  <si>
    <t xml:space="preserve"> -Phaûi thu veà cho vay töø QPL</t>
  </si>
  <si>
    <t xml:space="preserve"> -Phaûi thu veà tieàn vay mua coå phieáu cuûa coâng nhaân</t>
  </si>
  <si>
    <t xml:space="preserve"> -Phaûi thu veà thueá TNCN cuûa coâng nhaân</t>
  </si>
  <si>
    <t xml:space="preserve">    +NM SX thuøng phuy</t>
  </si>
  <si>
    <t xml:space="preserve">    +Ñöôøng soûi ñoû NTGD</t>
  </si>
  <si>
    <t xml:space="preserve"> -Phaûi traû veà coå töùc</t>
  </si>
  <si>
    <t>Quyõ ñaàu tö</t>
  </si>
  <si>
    <t>phaùt trieån</t>
  </si>
  <si>
    <t>Quyõ döï phoøng</t>
  </si>
  <si>
    <t>taøi chính</t>
  </si>
  <si>
    <t>Lôïi nhuaän</t>
  </si>
  <si>
    <t>sau thueá</t>
  </si>
  <si>
    <t xml:space="preserve"> -Doanh thu thuaàn baùn haøng hoùa</t>
  </si>
  <si>
    <t xml:space="preserve"> -Doanh thu thuaàn baùn saûn phaåm</t>
  </si>
  <si>
    <t xml:space="preserve"> -Doanh thu thuaàn dòch vuï</t>
  </si>
  <si>
    <t xml:space="preserve"> -Doanh thu thuaàn hôïp ñoàng xaây döïng</t>
  </si>
  <si>
    <t xml:space="preserve"> -Giaù voán cuûa coâng trình xaây döïng</t>
  </si>
  <si>
    <t xml:space="preserve">              + Thueá TNDN ñöôïc mieãn</t>
  </si>
  <si>
    <t xml:space="preserve">              + Lôïi nhuaän coøn laïi</t>
  </si>
  <si>
    <t xml:space="preserve"> -Laõi ñaàu tö kyø phieáu, tín phieáu</t>
  </si>
  <si>
    <t xml:space="preserve"> -Laõi ñaàu tö coâng traùi, traùi phieáu</t>
  </si>
  <si>
    <t xml:space="preserve"> -Nguyeân taéc vaø phöông phaùp khaáu haobaát ñoäng saûn ñaàu tö.</t>
  </si>
  <si>
    <t xml:space="preserve">   3. Voán khaùc cuûa chuû sôû höõu</t>
  </si>
  <si>
    <t xml:space="preserve">   4. Coå phieáu quyõ</t>
  </si>
  <si>
    <t xml:space="preserve">   5. Cheânh leäch ñaùnh giaù laïi taøi saûn</t>
  </si>
  <si>
    <t xml:space="preserve">   6. Cheânh leäch tyû giaù hoái ñoaùi</t>
  </si>
  <si>
    <t xml:space="preserve">   7. Quyõ ñaàu tö phaùt trieån </t>
  </si>
  <si>
    <t xml:space="preserve">   8. Quyõ döï phoøng taøi chính</t>
  </si>
  <si>
    <t xml:space="preserve">   9. Quyõ khaùc thuoäc voán chuû sôû höõu</t>
  </si>
  <si>
    <t xml:space="preserve"> 10. Lôïi nhuaän sau thueá chöa phaân phoái</t>
  </si>
  <si>
    <t xml:space="preserve"> 11. Nguoàn voán ñaàu tö XDCB</t>
  </si>
  <si>
    <t>4111, 4112</t>
  </si>
  <si>
    <t>V.01</t>
  </si>
  <si>
    <t>V.02</t>
  </si>
  <si>
    <t>V.03</t>
  </si>
  <si>
    <t>V.04</t>
  </si>
  <si>
    <t>V.05</t>
  </si>
  <si>
    <t>V.06</t>
  </si>
  <si>
    <t>V.07</t>
  </si>
  <si>
    <t>V.08</t>
  </si>
  <si>
    <t>V.09</t>
  </si>
  <si>
    <t>V.10</t>
  </si>
  <si>
    <t>V.11</t>
  </si>
  <si>
    <t>V.12</t>
  </si>
  <si>
    <t>V.13</t>
  </si>
  <si>
    <t>V.14</t>
  </si>
  <si>
    <t>V.21</t>
  </si>
  <si>
    <t>V.15</t>
  </si>
  <si>
    <t>V.16</t>
  </si>
  <si>
    <t>V.17</t>
  </si>
  <si>
    <t>V.18</t>
  </si>
  <si>
    <t>V.19</t>
  </si>
  <si>
    <t>V.20</t>
  </si>
  <si>
    <t>V.22</t>
  </si>
  <si>
    <t>V.23</t>
  </si>
  <si>
    <t xml:space="preserve">   -Coù thôøi haïn thu hoài treân 1 naêm hoaëc hôn 1 chu kyø kinh doanh ñöôïc phaân loaïi laø taøi saûn daøi haïn.</t>
  </si>
  <si>
    <t>SOÁ DÖ ÑAÀU NAÊM</t>
  </si>
  <si>
    <t>SOÁ PHAÙT SINH TRONG NAÊM</t>
  </si>
  <si>
    <t>SOÁ DÖ CUOÁI NAÊM</t>
  </si>
  <si>
    <t xml:space="preserve">NÔÏ </t>
  </si>
  <si>
    <t xml:space="preserve">COÙ </t>
  </si>
  <si>
    <t xml:space="preserve"> Tieàn maët</t>
  </si>
  <si>
    <t xml:space="preserve"> Ngoaïi teä </t>
  </si>
  <si>
    <t xml:space="preserve"> Tieàn göûi NH</t>
  </si>
  <si>
    <t xml:space="preserve"> Ñaàu tö ngaén haïn khaùc</t>
  </si>
  <si>
    <t>151 - 157</t>
  </si>
  <si>
    <t>ngaøy 20/03/2006 cuûa Boä tröôûng BTC)</t>
  </si>
  <si>
    <t xml:space="preserve"> -Chi phí laõi vay phaûi traû </t>
  </si>
  <si>
    <t>(Ban haønh theo QÑ soá 15/QÑ-BTC</t>
  </si>
  <si>
    <t>Xaõ Hieäp Thaïnh-Huyeän Goø Daàu-Tænh Taây Ninh</t>
  </si>
  <si>
    <t>Maãu soá B 01 - DN</t>
  </si>
  <si>
    <t>Maãu soá B 02 - DN</t>
  </si>
  <si>
    <t>Maãu soá B 03 - DN</t>
  </si>
  <si>
    <t>Maãu soá B 09 - DN</t>
  </si>
  <si>
    <t>2. Caùc khoaûn giaûm tröø doanh thu</t>
  </si>
  <si>
    <t>3. Doanh thu thuaàn veà baùn haøng vaø cung caáp DV (10 = 01 - 02)</t>
  </si>
  <si>
    <t>16. Chi phí thueá TNDN hoaõn laïi</t>
  </si>
  <si>
    <t>17. Lôïi nhuaän sau thueá TNDN (60 = 50 - 51 - 52)</t>
  </si>
  <si>
    <t>18. Laõi cô baûn treân coå phieáu</t>
  </si>
  <si>
    <t>VI.25</t>
  </si>
  <si>
    <t>VI.28</t>
  </si>
  <si>
    <t>VI.30</t>
  </si>
  <si>
    <t>VI.29</t>
  </si>
  <si>
    <t>VI.31</t>
  </si>
  <si>
    <t>VI.32</t>
  </si>
  <si>
    <t>III- Caùc khoaûn phaûi thu  ngaén haïn</t>
  </si>
  <si>
    <t>Ngaøy 31/12/2009</t>
  </si>
  <si>
    <t xml:space="preserve">   3. Phaûi thu noäi boä ngaén haïn</t>
  </si>
  <si>
    <t xml:space="preserve">   6. Döï phoøng phaûi thu ngaén haïn khoù ñoøi</t>
  </si>
  <si>
    <t xml:space="preserve">   2. Thueá GTGT ñöôïc khaáu tröø</t>
  </si>
  <si>
    <t xml:space="preserve">   3. Thueá vaø caùc khoaûn khaùc phaûi thu Nhaø nöôùc</t>
  </si>
  <si>
    <t xml:space="preserve">   4. Taøi saûn ngaén haïn khaùc</t>
  </si>
  <si>
    <t xml:space="preserve">   2. Voán kinh doanh ôû ñôn vò tröïc thuoäc</t>
  </si>
  <si>
    <t xml:space="preserve">   3. Phaûi thu daøi haïn noäi boä</t>
  </si>
  <si>
    <t>kinh doanh</t>
  </si>
  <si>
    <t xml:space="preserve"> -Phaûi thu veà coå töùc vaø lôïi nhuaän ñöôïc chia</t>
  </si>
  <si>
    <t xml:space="preserve"> -Thueá GTGT</t>
  </si>
  <si>
    <t xml:space="preserve"> -Thueá nhaäp khaåu</t>
  </si>
  <si>
    <t xml:space="preserve"> -Thueá TNDN</t>
  </si>
  <si>
    <t xml:space="preserve"> -Tieàn thueâ ñaát</t>
  </si>
  <si>
    <t xml:space="preserve"> -Thueá moân baøi</t>
  </si>
  <si>
    <t xml:space="preserve"> -Thueá TNCN</t>
  </si>
  <si>
    <t>9-Taêng, giaûm TSCÑ thueâ taøi chính:</t>
  </si>
  <si>
    <t>10-Taêng, giaûm TSCÑ voâ hình:</t>
  </si>
  <si>
    <t>Giaù trò thu hoài</t>
  </si>
  <si>
    <t>thanh lyù vöôøn caây</t>
  </si>
  <si>
    <t>Lôïi theá</t>
  </si>
  <si>
    <t xml:space="preserve">        Tieàn thaân cuûa Coâng ty laø Coâng ty Cao su Taây Ninh ñöôïc thaønh laäp theo Quyeát ñònh soá 252/TTg ngaøy 29/04/1995 cuûa Thuû töôùng Chính phuû.</t>
  </si>
  <si>
    <t>2-Ñôn vò tieàn teä söû duïng trong keá toaùn laø ñoàng Vieät Nam (VND)</t>
  </si>
  <si>
    <t xml:space="preserve">1-Cheá ñoä keá toaùn aùp duïng: </t>
  </si>
  <si>
    <t xml:space="preserve">           Coâng ty aùp duïng hình thöùc soå keá toaùn Chöùng töø ghi soå</t>
  </si>
  <si>
    <t>b.2.2) Caùc khoaûn ñieàu chænh giaûm</t>
  </si>
  <si>
    <t>b.4) Chi phí thueá thu nhaäp doanh nghieäp hieän haønh:</t>
  </si>
  <si>
    <t>[Chæ tieâu naøy baèng vôùi chæ tieâu 15 (Maõ soá 51 ) trong Baùo caùo keát quaû hoaït ñoäng kinh doanh ( Maãu soá B 02-DN)]</t>
  </si>
  <si>
    <t>b.4.3) Chi phí thueá TNDN hieän haønh phaûi noäp: (b.4.3 = b.4.1 - b.4.2)</t>
  </si>
  <si>
    <t>b.4.2) Chi phí thueá TNDN hieän haønh ñöôïc mieãn, giaûm do höôûng öu ñaõi ñaàu tö, (do. . . . . . . . . . .)</t>
  </si>
  <si>
    <t xml:space="preserve"> Thueá &amp; caùc khoaûn phaûi noäp NN</t>
  </si>
  <si>
    <t xml:space="preserve"> Phaûi traû CNV</t>
  </si>
  <si>
    <t xml:space="preserve"> Tieàn löông</t>
  </si>
  <si>
    <t xml:space="preserve"> BHXH</t>
  </si>
  <si>
    <t xml:space="preserve"> Tieàn thöôûng</t>
  </si>
  <si>
    <t xml:space="preserve"> Chi phí phaûi traû</t>
  </si>
  <si>
    <t xml:space="preserve"> Phaûi traû-phaûi noäp khaùc</t>
  </si>
  <si>
    <t xml:space="preserve"> Vay daøi haïn</t>
  </si>
  <si>
    <t xml:space="preserve"> Nguoàn voán kinh doanh</t>
  </si>
  <si>
    <t xml:space="preserve"> Cheânh leäch ñaùnh giaù laïi taøi saûn</t>
  </si>
  <si>
    <t xml:space="preserve"> Laõi chöa phaân phoái</t>
  </si>
  <si>
    <t xml:space="preserve"> Quyõ khen thöôûng-phuùc lôïi</t>
  </si>
  <si>
    <t xml:space="preserve"> Quyõ khen thöôûng</t>
  </si>
  <si>
    <t xml:space="preserve"> Quyõ phuùc lôïi</t>
  </si>
  <si>
    <t xml:space="preserve"> Nguoàn voán ñaàu tö XDCB</t>
  </si>
  <si>
    <t xml:space="preserve"> Nguoàn kinh phí söï nghieäp</t>
  </si>
  <si>
    <t>GIA COÂNG KHAÙC</t>
  </si>
  <si>
    <t xml:space="preserve"> Nguoàn kinh phí hình thaønh TSCÑ</t>
  </si>
  <si>
    <t xml:space="preserve">LOAÏI V: DOANH THU </t>
  </si>
  <si>
    <t xml:space="preserve"> Chi phí ng.lieäu, vaät lieäu tröïc tieáp</t>
  </si>
  <si>
    <t xml:space="preserve"> Chi phí nhaân coâng tröïc tieáp</t>
  </si>
  <si>
    <t xml:space="preserve"> Chi phí saûn xuaát chung</t>
  </si>
  <si>
    <t xml:space="preserve"> Giaù voán haøng baùn</t>
  </si>
  <si>
    <t xml:space="preserve"> Chi phí baùn haøng</t>
  </si>
  <si>
    <t xml:space="preserve"> Chi phí quaûn lyù doanh nghieäp</t>
  </si>
  <si>
    <t xml:space="preserve"> Xaùc ñònh keát quaû kinh doanh</t>
  </si>
  <si>
    <t>LOAÏI TAØI KHOAÛN NGOAØI BAÛNG</t>
  </si>
  <si>
    <t xml:space="preserve"> Ngoaïi teä caùc loaïi</t>
  </si>
  <si>
    <t xml:space="preserve"> Haïn möùc kinh phí coøn laïi</t>
  </si>
  <si>
    <t xml:space="preserve"> Nguoàn voán KHCB hieän coù </t>
  </si>
  <si>
    <t>BAÛNG CAÂN ÑOÁI KEÁ TOAÙN</t>
  </si>
  <si>
    <t>TAØI SAÛN</t>
  </si>
  <si>
    <t>MAÕ SOÁ</t>
  </si>
  <si>
    <t>SOÁ ÑAÀU NAÊM</t>
  </si>
  <si>
    <t xml:space="preserve">   2. Traû tröôùc cho ngöôøi baùn</t>
  </si>
  <si>
    <t xml:space="preserve">   1. Taøi saûn coá ñònh höõu hình</t>
  </si>
  <si>
    <t xml:space="preserve">     *Nguyeân giaù</t>
  </si>
  <si>
    <t xml:space="preserve">     *Giaù trò hao moøn luõy keá </t>
  </si>
  <si>
    <t xml:space="preserve">   2. Taøi saûn coá ñònh thueâ taøi chính</t>
  </si>
  <si>
    <t xml:space="preserve">   3. Taøi saûn coá ñònh voâ hình</t>
  </si>
  <si>
    <t xml:space="preserve">   3. Ñaàu tö daøi haïn khaùc</t>
  </si>
  <si>
    <t>NGUOÀN VOÁN</t>
  </si>
  <si>
    <t xml:space="preserve">A-NÔÏ PHAÛI TRAÛ </t>
  </si>
  <si>
    <t xml:space="preserve">   1. Taøi saûn thueâ ngoaøi</t>
  </si>
  <si>
    <t xml:space="preserve">   4. Nôï khoù ñoøi ñaõ xöû lyù </t>
  </si>
  <si>
    <t xml:space="preserve">   5. Ngoaïi teä caùc loaïi (USD)</t>
  </si>
  <si>
    <t xml:space="preserve">                LAÄP BIEÅU                                      KEÁ TOAÙN TRÖÔÛNG</t>
  </si>
  <si>
    <t xml:space="preserve">         TRAÀN NGOÏC AÅN</t>
  </si>
  <si>
    <t xml:space="preserve"> TS thöøa</t>
  </si>
  <si>
    <t>007</t>
  </si>
  <si>
    <t>008</t>
  </si>
  <si>
    <t>009</t>
  </si>
  <si>
    <t xml:space="preserve"> Phaûi traû noäi boä</t>
  </si>
  <si>
    <t>01</t>
  </si>
  <si>
    <t>02</t>
  </si>
  <si>
    <t>03</t>
  </si>
  <si>
    <t>05</t>
  </si>
  <si>
    <t>06</t>
  </si>
  <si>
    <t>07</t>
  </si>
  <si>
    <t xml:space="preserve"> Vay ngaén haïn</t>
  </si>
  <si>
    <t xml:space="preserve"> QPL hình thaønh TSCÑ PLCC</t>
  </si>
  <si>
    <t>b-Thueá thu nhaäp hoaõn laïi phaûi traû</t>
  </si>
  <si>
    <t xml:space="preserve"> -Thueá thu nhaäp hoaõn laïi phaûi traû phaùt sinh töø caùc khoaûn cheânh leäch taïm thôøi chòu thueá</t>
  </si>
  <si>
    <t xml:space="preserve"> -Khoaûn hoaøn nhaäp thueá thu nhaäp hoaõn laïi phaûi traû ñaõ ñöôïc ghi nhaän töø caùc naêm tröôùc</t>
  </si>
  <si>
    <t xml:space="preserve"> -Thueá thu nhaäp hoaõn laïi phaûi traû</t>
  </si>
  <si>
    <t>21-Taøi saûn thueá thu nhaäp hoaõn laïi vaø thueá thu nhaäp hoaõn laïi phaûi traû:</t>
  </si>
  <si>
    <t>22-Voán chuû sôû höõu:</t>
  </si>
  <si>
    <t>a-Baûng ñoái chieáu bieán ñoäng cuûa Voán chuû sôû höõu</t>
  </si>
  <si>
    <t>Voán ñaàu tö cuûa</t>
  </si>
  <si>
    <t>chuû sôû höõu</t>
  </si>
  <si>
    <t>b/quaân chi phí ñaàu tö dôû dang ñaàu kyø vaø chi phí ñaàu tö dôû dang cuoái kyø.</t>
  </si>
  <si>
    <t>c-Caùc giao dòch veà voán vôùi caùc chuû sôû höõu vaø phaân phoái coå töùc, chia lôïi nhuaän</t>
  </si>
  <si>
    <t>d-Coå töùc</t>
  </si>
  <si>
    <t xml:space="preserve"> -Coå töùc ñaõ coâng boá sau ngaøy keát thuùc kyø keá toaùn naêm:</t>
  </si>
  <si>
    <t xml:space="preserve">    +Coå töùc ñaõ coâng boá treân coå phieáu phoå thoâng:</t>
  </si>
  <si>
    <t>ñ-Coå phieáu</t>
  </si>
  <si>
    <t xml:space="preserve"> -Soá löôïng coå phieáu ñaõ baùn ra coâng chuùng</t>
  </si>
  <si>
    <t xml:space="preserve">    +Coå phieáu phoå thoâng</t>
  </si>
  <si>
    <t>*Meänh giaù coå phieáu ñang löu haønh:</t>
  </si>
  <si>
    <t>e-Caùc quyõ cuûa doanh nghieäp:</t>
  </si>
  <si>
    <t xml:space="preserve"> -Quyõ ñaàu tö phaùt trieån</t>
  </si>
  <si>
    <t xml:space="preserve"> -Quyõ khaùc thuoäc voán chuû sôû höõu</t>
  </si>
  <si>
    <t>23-Nguoàn kinh phí:</t>
  </si>
  <si>
    <t>24-Taøi saûn thueâ ngoaøi:</t>
  </si>
  <si>
    <t>(1)-Giaù trò taøi saûn thueâ ngoaøi</t>
  </si>
  <si>
    <t>(2)-Toång soá tieàn thueâ toái thieåu trong töông lai cuûa hôïp ñoàng thueâ hoaït ñoäng taøi saûn khoâng huûy ngang theo caùc thôøi haïn</t>
  </si>
  <si>
    <t xml:space="preserve"> -Töø 1 naêm trôû xuoáng</t>
  </si>
  <si>
    <t xml:space="preserve"> -Treân 1 ñeán 5 naêm</t>
  </si>
  <si>
    <t>25-Toång doanh thu baùn haøng vaø cung caáp dòch vuï (Maõ soá 01):</t>
  </si>
  <si>
    <t xml:space="preserve">    +Doanh thu cuûa hôïp ñoàng xaây döïng ñöôïc ghi nhaän trong kyø;</t>
  </si>
  <si>
    <t xml:space="preserve"> -Phaûi traû goùp voán (Caù nhaân)</t>
  </si>
  <si>
    <t xml:space="preserve"> -Tieàn ñaët coïc thöïc hieän HÑ</t>
  </si>
  <si>
    <t xml:space="preserve"> -Tieàn ñaët coïc mua coå phaàn</t>
  </si>
  <si>
    <t>b-Chi tieát voán ñaàu tö cuûa chuû sôû höõu</t>
  </si>
  <si>
    <t xml:space="preserve"> -Voán goùp cuûa Nhaø nöôùc</t>
  </si>
  <si>
    <t xml:space="preserve"> -Voán goùp cuûa caùc ñoái töôïng khaùc</t>
  </si>
  <si>
    <t>*Soá löôïng coå phieáu quyõ:</t>
  </si>
  <si>
    <t xml:space="preserve">   -Coù thôøi haïn thu hoài hoaëc ñaùo haïn khoâng quaù 3 thaùng keå töø ngaøy mua khoaûn ñaàu tö ñoù ñöôïc coi laø "töông ñöông tieàn".</t>
  </si>
  <si>
    <t xml:space="preserve">b.4.1) Chi phí thueá TNDN hieän haønh theo thueá suaát hieän haønh 28%: </t>
  </si>
  <si>
    <t xml:space="preserve">b.4.1) Chi phí thueá TNDN hieän haønh theo thueá suaát hieän haønh 15%: </t>
  </si>
  <si>
    <t>b.6.6) Lôïi nhuaän phaân phoái naêm sau (Laõi CL ÑGL SDCK 31/12 chöa thöïc hieän)</t>
  </si>
  <si>
    <t xml:space="preserve">   -Coù thôøi haïn thu hoài döôùi 1 naêm hoaëc trong 1 chu kyø kinh doanh ñöôïc phaân loaïi laø taøi saûn ngaén haïn.</t>
  </si>
  <si>
    <t xml:space="preserve"> Chi phí traû tröôùc daøi haïn</t>
  </si>
  <si>
    <t>GIAÙ VOÁN</t>
  </si>
  <si>
    <t>SAÛN PHAÅM</t>
  </si>
  <si>
    <t>TOÅNG SOÁ</t>
  </si>
  <si>
    <t>GIAÙ VOÁN HAØNG BAÙN</t>
  </si>
  <si>
    <t>CP SXC CÑ</t>
  </si>
  <si>
    <t>KHOÂNG PB</t>
  </si>
  <si>
    <t>CP VÖÔÏT</t>
  </si>
  <si>
    <t>DÖÏ TOAÙN</t>
  </si>
  <si>
    <t>TIEÂU THUÏ</t>
  </si>
  <si>
    <t xml:space="preserve"> -Giaù trò lôïi theá doanh nghieäp (phaân boå 10 naêm: 2007-2016)</t>
  </si>
  <si>
    <t>a.1) Toång soá lao ñoäng ñeán 31/12</t>
  </si>
  <si>
    <t xml:space="preserve">a.2) Soá lao ñoäng bình quaân trong naêm (Tính theo höôùng daãn cuûa Thoâng tö soá 08/1998/TT-BLÑTBXH </t>
  </si>
  <si>
    <t>ngaøy 07/05/1998 cuûa Boä LÑ-TBXH)</t>
  </si>
  <si>
    <t>a.3) Toång quyõ tieàn löông thöïc hieän (Toång quyõ tieàn löông phaûi traû cho CBCNV phaùt sinh trong naêm)</t>
  </si>
  <si>
    <t>trong naêm ngoaøi quyõ tieàn löông)</t>
  </si>
  <si>
    <t>b) Lôïi nhuaän vaø phaân phoái lôïi nhuaän:</t>
  </si>
  <si>
    <t>a) Lao ñoäng vaø tieàn löông:</t>
  </si>
  <si>
    <t>b.1) Toång lôïi nhuaän keá toaùn tröôùc thueá thöïc hieän trong naêm</t>
  </si>
  <si>
    <t>b.2) Caùc khoaûn ñieàu chænh taêng hoaëc giaûm lôïi nhuaän keá toaùn ñeå xaùc ñònh thu nhaäp chòu thueá</t>
  </si>
  <si>
    <t>b.2.1) Caùc khoaûn ñieàu chænh taêng</t>
  </si>
  <si>
    <t xml:space="preserve">     +Chi phí XDCB vöôït döï toaùn</t>
  </si>
  <si>
    <t xml:space="preserve">     +Caùc khoaûn chi phí khoâng hôïp leä</t>
  </si>
  <si>
    <t xml:space="preserve">     +Tieàn phaït thueá</t>
  </si>
  <si>
    <t xml:space="preserve">     +Caùc khoaûn thu nhaäp töø coå töùc ñöôïc chia</t>
  </si>
  <si>
    <t xml:space="preserve">     +Caùc khoaûn thu nhaäp töø laõi traùi phieáu Chính phuû</t>
  </si>
  <si>
    <t xml:space="preserve">     +Laõi cheânh leäch tyû giaù chöa thöïc hieän (Laõi cheânh leäch tyû giaù hoái ñoaùi do ñaùnh giaù laïi caùc TK)</t>
  </si>
  <si>
    <t>b.3) Toång thu nhaäp chòu thueá: (b.3=b.1+b.2.1-b.2.2)</t>
  </si>
  <si>
    <t>b.5) Lôïi nhuaän sau thueá thu nhaäp doanh nghieäp: (b.5 = b.1 - b.4.3)</t>
  </si>
  <si>
    <t>b.6) Phaân phoái lôïi nhuaän:</t>
  </si>
  <si>
    <t>b.6.1) Chia lôïi nhuaän, coå töùc cho caùc ñôn vò:</t>
  </si>
  <si>
    <t>b.6.2) Lôïi nhuaän ñeå laïi chöa phaân phoái:</t>
  </si>
  <si>
    <t>b.6.3) Trích quyõ döï phoøng taøi chính:</t>
  </si>
  <si>
    <t>b.6.4) Lôïi nhuaän ñöôïc chia theo voán nhaø nöôùc ñaàu tö taïi ñôn vò:</t>
  </si>
  <si>
    <t xml:space="preserve">         - Lôïi nhuaän ñeå laïi taùi ñaàu tö taïi ñôn vò:</t>
  </si>
  <si>
    <t xml:space="preserve">         - Lôïi nhuaän phaûi noäp Taäp ñoaøn:</t>
  </si>
  <si>
    <t>b.6.5) Lôïi nhuaän ñöôïc chia theo voán ñôn vò töï huy ñoäng:</t>
  </si>
  <si>
    <t xml:space="preserve">         - Trích quyõ ñaàu tö phaùt trieån:</t>
  </si>
  <si>
    <t xml:space="preserve">         - Trích quyõ khen thöôûng:</t>
  </si>
  <si>
    <t xml:space="preserve">         - Trích quyõ phuùc lôïi:</t>
  </si>
  <si>
    <t xml:space="preserve"> Ngoaïi teä (Sôû giao dòch II kyù quyõ)</t>
  </si>
  <si>
    <t xml:space="preserve"> Thueá nhaäp khaåu</t>
  </si>
  <si>
    <t xml:space="preserve"> 2. Thueá nhaäp khaåu </t>
  </si>
  <si>
    <t xml:space="preserve"> Goùp voán lieân doanh</t>
  </si>
  <si>
    <t>I-LÖU CHUYEÅN TIEÀN TÖØ HOAÏT ÑOÄNG KINH DOANH</t>
  </si>
  <si>
    <t>1.Tieàn thu töø baùn haøng, cung caáp dòch vuï vaø doanh thu khaùc</t>
  </si>
  <si>
    <t>2.Tieàn chi traû cho ngöôøi cung caáp haøng hoùa vaø dòch vuï</t>
  </si>
  <si>
    <t>3.Tieàn chi traû cho ngöôøi lao ñoäng</t>
  </si>
  <si>
    <t>4.Tieàn chi traû laõi vay</t>
  </si>
  <si>
    <t>5.Tieàn chi noäp thueá Thu nhaäp doanh nghieäp</t>
  </si>
  <si>
    <t>6.Tieàn thu khaùc töø hoaït ñoäng kinh doanh</t>
  </si>
  <si>
    <t>7.Tieàn chi khaùc cho hoaït ñoäng kinh doanh</t>
  </si>
  <si>
    <t>Löu chuyeån tieàn thuaàn töø hoaït ñoäng kinh doanh</t>
  </si>
  <si>
    <t>II-LÖU CHUYEÅN TIEÀN TÖØ HOAÏT ÑOÄNG ÑAÀU TÖ</t>
  </si>
  <si>
    <t xml:space="preserve"> Phaûi traû, phaûi noäp khaùc</t>
  </si>
  <si>
    <t xml:space="preserve"> Phaûi traû veà coå phaàn hoùa (Cty mua baùn nôï)</t>
  </si>
  <si>
    <t>SOÁ HIEÄU TK</t>
  </si>
  <si>
    <t>Keát quaû</t>
  </si>
  <si>
    <t>Laõi (+)</t>
  </si>
  <si>
    <t>Loã (-)</t>
  </si>
  <si>
    <t>Caáp I</t>
  </si>
  <si>
    <t>Caáp II</t>
  </si>
  <si>
    <t>Thueá GTGT ñöôïc khaáu tröø cuûa TSCÑ</t>
  </si>
  <si>
    <t>Voán kinh doanh ôû caùc ñôn vò tröïc thuoäc</t>
  </si>
  <si>
    <t>LOAÏI TK I: TAØI SAÛN NGAÉN HAÏN</t>
  </si>
  <si>
    <t xml:space="preserve"> Taøi saûn thieáu chôø xöû lyù</t>
  </si>
  <si>
    <t>d</t>
  </si>
  <si>
    <t>*Döï phoøng giaûm giaù toàn kho</t>
  </si>
  <si>
    <t xml:space="preserve"> Chi phí SXKD dôû dang (Muû gia coâng)</t>
  </si>
  <si>
    <t>Caàm coá, kyù cöôïc, kyù quyõ ngaén haïn</t>
  </si>
  <si>
    <t xml:space="preserve"> Nguyeân lieäu, vaät lieäu </t>
  </si>
  <si>
    <t xml:space="preserve"> Nguyeân lieäu, vaät lieäu</t>
  </si>
  <si>
    <t>Coâng cuï, duïng cuï</t>
  </si>
  <si>
    <t xml:space="preserve"> TP Muû skim Cty</t>
  </si>
  <si>
    <t xml:space="preserve"> TSCÑ thueâ taøi chính</t>
  </si>
  <si>
    <t xml:space="preserve"> TSCÑ voâ hình</t>
  </si>
  <si>
    <t xml:space="preserve"> Ñaàu tö vaøo coâng ty con</t>
  </si>
  <si>
    <t>LOAÏI II: TAØI SAÛN DAØI HAÏN</t>
  </si>
  <si>
    <t>Thanh toaùn theo tieán ñoä KH hôïp ñoàng XD</t>
  </si>
  <si>
    <t xml:space="preserve"> Nhaän kyù quyõ, kyù cöôïc daøi haïn</t>
  </si>
  <si>
    <t xml:space="preserve"> Kyù quyõ, kyù cöôïc daøi haïn</t>
  </si>
  <si>
    <t xml:space="preserve"> Döï phoøng giaûm giaù ñaàu tö daøi haïn</t>
  </si>
  <si>
    <t xml:space="preserve"> Baát ñoäng saûn ñaàu tö</t>
  </si>
  <si>
    <t xml:space="preserve"> Döï phoøng giaûm giaù haøng toàn kho</t>
  </si>
  <si>
    <t xml:space="preserve"> Haøng göûi ñi baùn</t>
  </si>
  <si>
    <t xml:space="preserve"> Haøng hoùa</t>
  </si>
  <si>
    <t xml:space="preserve"> Haøng mua ñang ñi treân ñöôøng</t>
  </si>
  <si>
    <t xml:space="preserve"> Nôï daøi haïn</t>
  </si>
  <si>
    <t xml:space="preserve"> Traùi phieáu phaùt haønh</t>
  </si>
  <si>
    <t>LOAÏI IV: VOÁN CHUÛ SÔÛ HÖÕU</t>
  </si>
  <si>
    <t xml:space="preserve"> Quyõ döï phoøng taøi chính</t>
  </si>
  <si>
    <t xml:space="preserve"> Cheânh leäch tyû giaù hoái ñoaùi</t>
  </si>
  <si>
    <t xml:space="preserve"> Doanh thu baùn haøng vaø cung caáp dòch vuï</t>
  </si>
  <si>
    <t xml:space="preserve"> Doanh thu baùn haøng noäi boä</t>
  </si>
  <si>
    <t xml:space="preserve"> Doanh thu hoaït ñoäng taøi chính</t>
  </si>
  <si>
    <t>LOAÏI VI: CHI PHÍ SAÛN XUAÁT, KINH DOANH</t>
  </si>
  <si>
    <t xml:space="preserve"> Mua haøng</t>
  </si>
  <si>
    <t xml:space="preserve"> Chieát khaáu thöông maïi</t>
  </si>
  <si>
    <t xml:space="preserve"> Haøng baùn bò traû laïi</t>
  </si>
  <si>
    <t xml:space="preserve"> Giaù thaønh saûn xuaát</t>
  </si>
  <si>
    <t>LOAÏI VII: THU NHAÄP KHAÙC</t>
  </si>
  <si>
    <t>LOAÏI VIII: CHI PHÍ KHAÙC</t>
  </si>
  <si>
    <t xml:space="preserve"> -Cao su thanh lyù, gaõy ñoå</t>
  </si>
  <si>
    <t>COÂNG TY COÅ PHAÀN CAO SU TAÂY NINH</t>
  </si>
  <si>
    <t>QUYÙ BAÙO CAÙO</t>
  </si>
  <si>
    <t>LUÕY KEÁ</t>
  </si>
  <si>
    <t xml:space="preserve">15. Chi phí thueá TNDN hieän haønh </t>
  </si>
  <si>
    <t>Thueá GTGT ñöôïc hoaøn laïi</t>
  </si>
  <si>
    <r>
      <t>2.1</t>
    </r>
    <r>
      <rPr>
        <sz val="12"/>
        <rFont val="VNI-Times"/>
        <family val="0"/>
      </rPr>
      <t xml:space="preserve"> -Nguyeân taéc ñaùnh giaù haøng toàn kho: Haøng toàn kho ñöôïc tính theo giaù goác. Tröôøng hôïp giaù trò thuaàn coù theå thöïc hieän ñöôïc thaáp hôn giaù goác </t>
    </r>
  </si>
  <si>
    <r>
      <t>2.2</t>
    </r>
    <r>
      <rPr>
        <sz val="12"/>
        <rFont val="VNI-Times"/>
        <family val="0"/>
      </rPr>
      <t xml:space="preserve"> -Phöông phaùp xaùc ñònh giaù trò haøng toàn kho cuoái kyø: Giaù trò haøng toàn kho cuoái kyø ñöôïc xaùc ñònh theo phöông phaùp bình quaân gia quyeàn.</t>
    </r>
  </si>
  <si>
    <t xml:space="preserve">   -Nhaø cöûa, vaät kieán truùc</t>
  </si>
  <si>
    <t>Ngaøy 31/12/2007</t>
  </si>
  <si>
    <t xml:space="preserve"> Nhieân lieäu</t>
  </si>
  <si>
    <t xml:space="preserve"> TGNH No&amp;PTNT Taây Ninh</t>
  </si>
  <si>
    <t xml:space="preserve"> TGNH Coâng thöông Taây Ninh</t>
  </si>
  <si>
    <t xml:space="preserve"> Thuoác </t>
  </si>
  <si>
    <t xml:space="preserve"> Chi phí SXKD dôû dang (CHXD)</t>
  </si>
  <si>
    <t xml:space="preserve">              TRAÀN NGOÏC AÅN</t>
  </si>
  <si>
    <t xml:space="preserve"> -Thu nhaäp thueá thu nhaäp doanh nghieäp hoaõn laïi phaùt sinh töø caùc khoaûn cheânh leäch taïm thôøi ñöôïc khaáu tröø</t>
  </si>
  <si>
    <t xml:space="preserve"> -Thu nhaäp thueá thu nhaäp doanh nghieäp hoaõn laïi phaùt sinh töø caùc khoaûn loã tính thueá vaø öu ñaõi thueá chöa söû duïng</t>
  </si>
  <si>
    <t xml:space="preserve"> -Thu nhaäp thueá thu nhaäp doanh nghieäp hoaõn laïi phaùt sinh töø vieäc hoaøn nhaäp thueá thu nhaäp hoaõn laïi phaûi traû</t>
  </si>
  <si>
    <t xml:space="preserve"> -Chi phí SC lôùn</t>
  </si>
  <si>
    <t xml:space="preserve"> -Chi phí daøi haïn khaùc (CCDC)</t>
  </si>
  <si>
    <t xml:space="preserve"> -Toång chi phí thueá thu nhaäp doanh nghieäp hoaõn laïi</t>
  </si>
  <si>
    <t>33-Chi phí saûn xuaát, kinh doanh theo yeáu toá:</t>
  </si>
  <si>
    <t xml:space="preserve"> -Chi phí nguyeân lieäu, vaät lieäu</t>
  </si>
  <si>
    <t xml:space="preserve"> -Chi phí nhaân coâng</t>
  </si>
  <si>
    <t xml:space="preserve"> -Chi phí khaáu hao TSCÑ</t>
  </si>
  <si>
    <t xml:space="preserve"> -Chi phí dòch vuï mua mgoaøi</t>
  </si>
  <si>
    <t xml:space="preserve"> -Chi phí khaùc baèng tieàn</t>
  </si>
  <si>
    <t>VII-Thoâng tin boå sung cho caùc khoaûn muïc trình baøy trong Baùo caùo löu chuyeån tieàn teä:</t>
  </si>
  <si>
    <t>a-Mua taøi saûn baèng caùch nhaän caùc khoaûn nôï lieân quan tröïc tieáp hoaëc thoâng qua nghieäp vuï cho thueâ taøi chính</t>
  </si>
  <si>
    <t>b-Mua vaø thanh lyù coâng ty con hoaëc ñôn vò kinh doanh khaùc trong kyø baùo caùo</t>
  </si>
  <si>
    <t>6-Nguyeân taéc ghi nhaän vaø voán hoùa caùc khoaûn chi phí ñi vay:</t>
  </si>
  <si>
    <t>7-Nguyeân taéc ghi nhaän vaø voán hoùa caùc khoaûn chi phí khaùc:</t>
  </si>
  <si>
    <t xml:space="preserve"> +Chi phí traû tröôùc: Chi phí traû tröôùc phaân boå cho hoaït ñoäng ñaàu tö xaây döïng cô baûn, caûi taïo, naâng caáp TSCÑ trong kyø ñöôïc voán hoùa vaøo TSCÑ </t>
  </si>
  <si>
    <r>
      <t>6.2</t>
    </r>
    <r>
      <rPr>
        <sz val="12"/>
        <rFont val="VNI-Times"/>
        <family val="0"/>
      </rPr>
      <t xml:space="preserve"> -Tyû leä voán hoùa chi phí ñi vay ñöôïc söû duïng ñeå xaùc ñònh chi phí ñi vay ñöôïc voán hoùa trong kyø: Tyû leä voán hoùa chi phí laõi vay trong kyø döïa vaøo</t>
    </r>
  </si>
  <si>
    <r>
      <t>7.1</t>
    </r>
    <r>
      <rPr>
        <sz val="12"/>
        <rFont val="VNI-Times"/>
        <family val="0"/>
      </rPr>
      <t xml:space="preserve"> -Nguyeân taéc voán hoùa caùc khoaûn chi phí khaùc:</t>
    </r>
  </si>
  <si>
    <r>
      <t>7.2</t>
    </r>
    <r>
      <rPr>
        <sz val="12"/>
        <rFont val="VNI-Times"/>
        <family val="0"/>
      </rPr>
      <t xml:space="preserve"> -Phöông phaùp phaân boå chi phí traû tröôùc: Caùc loaïi chi phí traû tröôùc neáu chi phí lieân quan ñeán naêm taøi chính hieän taïi thì ñöôïc ghi nhaän vaøo chi</t>
    </r>
  </si>
  <si>
    <r>
      <t>7.3</t>
    </r>
    <r>
      <rPr>
        <sz val="12"/>
        <rFont val="VNI-Times"/>
        <family val="0"/>
      </rPr>
      <t xml:space="preserve"> -Phöông phaùp vaø thôøi gian phaân boå lôïi theá thöông maïi:</t>
    </r>
  </si>
  <si>
    <r>
      <t>10.1</t>
    </r>
    <r>
      <rPr>
        <sz val="12"/>
        <rFont val="VNI-Times"/>
        <family val="0"/>
      </rPr>
      <t xml:space="preserve"> -Nguyeân taéc ghi nhaän voán ñaàu tö cuûa chuû sôû höõu, thaëng dö voán coå phaàn, voán khaùc cuûa chuû sôû höõu:</t>
    </r>
  </si>
  <si>
    <r>
      <t>10.2</t>
    </r>
    <r>
      <rPr>
        <sz val="12"/>
        <rFont val="VNI-Times"/>
        <family val="0"/>
      </rPr>
      <t xml:space="preserve"> -Nguyeân taéc ghi nhaän cheânh leäch ñaùnh giaù laïi taøi saûn:</t>
    </r>
  </si>
  <si>
    <t>Soá ÑN</t>
  </si>
  <si>
    <t>Soá CK</t>
  </si>
  <si>
    <r>
      <t>10.3</t>
    </r>
    <r>
      <rPr>
        <sz val="12"/>
        <rFont val="VNI-Times"/>
        <family val="0"/>
      </rPr>
      <t xml:space="preserve"> -Nguyeân taéc ghi nhaän cheânh leäch tyû giaù: </t>
    </r>
  </si>
  <si>
    <r>
      <t>10.4</t>
    </r>
    <r>
      <rPr>
        <sz val="12"/>
        <rFont val="VNI-Times"/>
        <family val="0"/>
      </rPr>
      <t xml:space="preserve"> -Nguyeân taéc ghi nhaän lôïi nhuaän chöa phaân phoái:</t>
    </r>
  </si>
  <si>
    <r>
      <t>11.1</t>
    </r>
    <r>
      <rPr>
        <sz val="12"/>
        <rFont val="VNI-Times"/>
        <family val="0"/>
      </rPr>
      <t xml:space="preserve"> -Doanh thu baùn haøng ñöôïc ghi nhaän khi ñoàng thôøi thoûa maõn caùc ñieàu kieän sau:</t>
    </r>
  </si>
  <si>
    <r>
      <t>11.2</t>
    </r>
    <r>
      <rPr>
        <sz val="12"/>
        <rFont val="VNI-Times"/>
        <family val="0"/>
      </rPr>
      <t xml:space="preserve"> -Doanh thu cung caáp dòch vuï ñöôïc ghi nhaän khi keát quaû cuûa giao dòch ñoù ñöôïc xaùc ñònh moät caùch ñaùng tin caäy. Tröôøng hôïp vieäc cung caáp</t>
    </r>
  </si>
  <si>
    <r>
      <t>11.3</t>
    </r>
    <r>
      <rPr>
        <sz val="12"/>
        <rFont val="VNI-Times"/>
        <family val="0"/>
      </rPr>
      <t xml:space="preserve"> -Doanh thu hoaït ñoäng taøi chính: Doanh thu phaùt sinh töø tieàn laõi, tieàn baûn quyeàn, coå töùc, lôïi nhuaän ñöôïc chia vaø caùc khoaûn doanh thu hoaït</t>
    </r>
  </si>
  <si>
    <r>
      <t>11.4</t>
    </r>
    <r>
      <rPr>
        <sz val="12"/>
        <rFont val="VNI-Times"/>
        <family val="0"/>
      </rPr>
      <t xml:space="preserve"> -Doanh thu hôïp ñoàng xaây döïng:</t>
    </r>
  </si>
  <si>
    <t>06-20 naêm</t>
  </si>
  <si>
    <t>06-10 naêm</t>
  </si>
  <si>
    <t>03-05 naêm</t>
  </si>
  <si>
    <t>05-10 naêm</t>
  </si>
  <si>
    <t xml:space="preserve"> Tieàn thueâ ñaát </t>
  </si>
  <si>
    <t xml:space="preserve"> BHXH 22%</t>
  </si>
  <si>
    <t xml:space="preserve"> BHYT 4,5%</t>
  </si>
  <si>
    <t xml:space="preserve">   -Maùy moùc. Thieát bò</t>
  </si>
  <si>
    <t xml:space="preserve">   -Phöông tieän vaän taûi</t>
  </si>
  <si>
    <t xml:space="preserve">   -Thieát bò vaên phoøng</t>
  </si>
  <si>
    <t xml:space="preserve">   -Caùc taøi saûn khaùc</t>
  </si>
  <si>
    <t>tröø khi söï giaùn ñoaïn ñoù laø caàn thieát.</t>
  </si>
  <si>
    <t>Vieäc voán hoùa chi phí ñi vay seõ ñöôïc taïm ngöøng laïi trong caùc giai ñoaïn maø quaù trình ñaàu tö xaây döïng hoaëc saûn xuaát taøi saûn dôû dang bò giaùn ñoaïn,</t>
  </si>
  <si>
    <t xml:space="preserve">    +Tieàn thueâ ñaát </t>
  </si>
  <si>
    <t>Chi phí ñi vay phaùt sinh sau ñoù seõ ñöôïc ghi nhaän laø chi phí saûn xuaát, kinh doanh trong kyø phaùt sinh.</t>
  </si>
  <si>
    <t>ñang ñöôïc ñaàu tö hoaëc caûi taïo naâng caáp ñoù.</t>
  </si>
  <si>
    <t xml:space="preserve">   1. Phaûi thu khaùch haøng</t>
  </si>
  <si>
    <t xml:space="preserve">   4. Phaûi thu theo tieán ñoä KH hôïp ñoàng xaây döïng</t>
  </si>
  <si>
    <t xml:space="preserve">   5. Caùc khoaûn phaûi thu khaùc</t>
  </si>
  <si>
    <t xml:space="preserve">   1. Haøng toàn kho</t>
  </si>
  <si>
    <t xml:space="preserve">   2. Döï phoøng giaûm giaù haøng toàn kho</t>
  </si>
  <si>
    <t xml:space="preserve">   1. Chi phí traû tröôùc ngaén haïn</t>
  </si>
  <si>
    <t>B-TAØI SAÛN DAØI HAÏN</t>
  </si>
  <si>
    <t>(200 = 210 + 220 + 240 + 250 + 260)</t>
  </si>
  <si>
    <t>(100 = 110 + 120 + 130 + 140 + 150)</t>
  </si>
  <si>
    <t>II- Taøi saûn coá ñònh</t>
  </si>
  <si>
    <t>V- Taøi saûn ngaén haïn khaùc</t>
  </si>
  <si>
    <t>I- Tieàn vaø caùc khoaûn töông ñöông tieàn</t>
  </si>
  <si>
    <t>121 (3 thaùng)</t>
  </si>
  <si>
    <t>1381,141,144</t>
  </si>
  <si>
    <t>1385,1388,334,338</t>
  </si>
  <si>
    <t>131 (daøi haïn)</t>
  </si>
  <si>
    <t>136 (daøi haïn)</t>
  </si>
  <si>
    <t>138,331,338 (daøi haïn)</t>
  </si>
  <si>
    <t>139 (daøi haïn)</t>
  </si>
  <si>
    <t>331  (daøi haïn)</t>
  </si>
  <si>
    <t>336 (daøi haïn)</t>
  </si>
  <si>
    <t>334,338 (daøi haïn)</t>
  </si>
  <si>
    <t xml:space="preserve">          TRAÀN NGOÏC AÅN</t>
  </si>
  <si>
    <t>352 (daøi haïn)</t>
  </si>
  <si>
    <t xml:space="preserve">II- Caùc khoaûn ñaàu tö taøi chính ngaén haïn </t>
  </si>
  <si>
    <t>IV- Haøng toàn kho</t>
  </si>
  <si>
    <t xml:space="preserve">   1. Phaûi thu daøi haïn cuûa khaùch haøng</t>
  </si>
  <si>
    <t xml:space="preserve">               LAÄP BIEÅU                                              </t>
  </si>
  <si>
    <t xml:space="preserve"> KEÁ TOAÙN TRÖÔÛNG</t>
  </si>
  <si>
    <t xml:space="preserve">   3. Phaûi thu daøi haïn khaùc</t>
  </si>
  <si>
    <t xml:space="preserve">   4. Döï phoøng phaûi thu daøi haïn khoù ñoøi</t>
  </si>
  <si>
    <t xml:space="preserve">   4. Chi phí XDCB dôû dang</t>
  </si>
  <si>
    <t>IV- Caùc khoaûn ñaàu tö taøi chính daøi haïn</t>
  </si>
  <si>
    <t>III- Baát ñoäng saûn ñaàu tö</t>
  </si>
  <si>
    <t xml:space="preserve">   1. Ñaàu tö vaøo coâng ty con</t>
  </si>
  <si>
    <t xml:space="preserve"> 11. Quyõ khen thöôûng, phuùc lôïi</t>
  </si>
  <si>
    <t xml:space="preserve">   1. Nguoàn kinh phí</t>
  </si>
  <si>
    <t xml:space="preserve">   2. Nguoàn kinh phí ñaõ hình thaønh TSCÑ</t>
  </si>
  <si>
    <t xml:space="preserve">                Ngaøy 19 thaùng 10  naêm 2010</t>
  </si>
  <si>
    <t>Ngaøy 30/09/2010</t>
  </si>
  <si>
    <t xml:space="preserve">    +Khaùc</t>
  </si>
  <si>
    <t>Ngaøy 19 thaùng 10 naêm 2010</t>
  </si>
  <si>
    <t xml:space="preserve"> Baûo hieåm thaát nghieäp</t>
  </si>
  <si>
    <t xml:space="preserve"> -Nôï daøi haïn khaùc </t>
  </si>
  <si>
    <t xml:space="preserve">   2. Ñaàu tö vaøo coâng ty lieân keát, lieân doanh</t>
  </si>
  <si>
    <t xml:space="preserve">   4. Döï phoøng giaûm giaù chöùng khoaùn ñaàu tö daøi haïn</t>
  </si>
  <si>
    <t>V- Taøi saûn daøi haïn khaùc</t>
  </si>
  <si>
    <t xml:space="preserve">   1. Chi phí traû tröôùc daøi haïn</t>
  </si>
  <si>
    <t xml:space="preserve">   2. Taøi saûn thueá thu nhaäp hoaõn laïi</t>
  </si>
  <si>
    <t xml:space="preserve">   3. Taøi saûn daøi haïn khaùc</t>
  </si>
  <si>
    <t>TOÅNG COÄNG TAØI SAÛN (270 = 100 + 200)</t>
  </si>
  <si>
    <t>TM</t>
  </si>
  <si>
    <t xml:space="preserve">   1. Vay vaø nôï ngaén haïn</t>
  </si>
  <si>
    <t xml:space="preserve">   2. Phaûi traû ngöôøi baùn</t>
  </si>
  <si>
    <t>mua haøng vaø caùc chi phí khaùc coù lieân quan tröïc tieáp ñeán vieäc mua haøng toàn kho.</t>
  </si>
  <si>
    <t>coá ñònh vaø chi phí saûn xuaát chung bieán ñoåi phaùt sinh trong quaù trình chuyeån hoùa nguyeân lieäu vaät lieäu thaønh thaønh phaåm.</t>
  </si>
  <si>
    <t xml:space="preserve"> COÂNG TY COÅ PHAÀN CAO SU TAÂY NINH</t>
  </si>
  <si>
    <t>Thöøa(-), thieáu(+)</t>
  </si>
  <si>
    <t xml:space="preserve">kyø naøy </t>
  </si>
  <si>
    <t xml:space="preserve">trong kyø naøy </t>
  </si>
  <si>
    <t>Toång coäng</t>
  </si>
  <si>
    <t>STT</t>
  </si>
  <si>
    <t>Chi phí</t>
  </si>
  <si>
    <t>baùn haøng</t>
  </si>
  <si>
    <t>QLDN</t>
  </si>
  <si>
    <t>A</t>
  </si>
  <si>
    <t>B</t>
  </si>
  <si>
    <t>C</t>
  </si>
  <si>
    <t>LAÄP BIEÅU</t>
  </si>
  <si>
    <t>KEÁ TOAÙN TRÖÔÛNG</t>
  </si>
  <si>
    <t>TEÂN TAØI KHOAÛN</t>
  </si>
  <si>
    <t xml:space="preserve">   -Taøi saûn thieáu chôø xöû lyù ñöôïc phaân loaïi laø nôï ngaén haïn.</t>
  </si>
  <si>
    <t xml:space="preserve">   -Thueá thu nhaäp hoaõn laïi ñöôïc phaân loaïi laø nôï daøi haïn.</t>
  </si>
  <si>
    <t xml:space="preserve">   -Coù thôøi haïn thanh toaùn treân 1 naêm hoaëc treân 1 chu kyø saûn xuaát kinh doanh ñöôïc phaân loaïi laø nôï daøi haïn.</t>
  </si>
  <si>
    <t xml:space="preserve">   -Coù thôøi haïn thanh toaùn döôùi 1 naêm hoaëc trong 1 chu kyø saûn xuaát kinh doanh ñöôïc phaân loaïi laø nôï ngaén haïn.</t>
  </si>
  <si>
    <t>Caùc khoaûn phaûi traû ngöôøi baùn, phaûi traû noäi boä, phaûi traû khaùc, khoaûn vay taïi thôøi ñieåm baùo caùo, neáu:</t>
  </si>
  <si>
    <t>Caùc chi phí traû tröôùc chæ lieân quan ñeán chi phí saûn xuaát kinh doanh naêm taøi chính hieän taïi ñöôïc ghi nhaän laø chi phí traû tröôùc ngaén haïn.</t>
  </si>
  <si>
    <t xml:space="preserve">   -Chi phí thaønh laäp;</t>
  </si>
  <si>
    <t xml:space="preserve">   -Chi phí tröôùc hoaït ñoäng/ chi phí chuaån bò saûn xuaát (bao goàm caùc chi phí ñaøo taïo);</t>
  </si>
  <si>
    <t>UÛy thaùc XK</t>
  </si>
  <si>
    <t>* Muû coám</t>
  </si>
  <si>
    <t>Noäi tieâu</t>
  </si>
  <si>
    <t xml:space="preserve">Caùc khoaûn giaûm tröø </t>
  </si>
  <si>
    <t>Thueá XK</t>
  </si>
  <si>
    <t>Giaûm giaù</t>
  </si>
  <si>
    <t xml:space="preserve">TOÅNG </t>
  </si>
  <si>
    <t>DOANH THU</t>
  </si>
  <si>
    <t>Thueá GTGT</t>
  </si>
  <si>
    <t>ñaàu ra</t>
  </si>
  <si>
    <t xml:space="preserve"> Thueá GTGT ñöôïc khaáu tröø</t>
  </si>
  <si>
    <t>Bieåu 02</t>
  </si>
  <si>
    <t xml:space="preserve"> Thueá GTGT</t>
  </si>
  <si>
    <t xml:space="preserve"> Thueá TNDN</t>
  </si>
  <si>
    <t xml:space="preserve"> -Chuyeån sang BÑS ñaàu tö</t>
  </si>
  <si>
    <t xml:space="preserve"> -Thanh lyù, nhöôïng baùn</t>
  </si>
  <si>
    <t xml:space="preserve"> -Giaûm khaùc</t>
  </si>
  <si>
    <t>Soá dö cuoái naêm</t>
  </si>
  <si>
    <t xml:space="preserve"> -Khaáu hao trong naêm</t>
  </si>
  <si>
    <t xml:space="preserve"> -Taïi ngaøy ñaàu naêm</t>
  </si>
  <si>
    <t>TAÄP ÑOAØN COÂNG NGHIEÄP CAO SU VIEÄT NAM</t>
  </si>
  <si>
    <t xml:space="preserve"> TGNH TM CP SaøiGoøn-Haø Noäi (CN Tp HCM)</t>
  </si>
  <si>
    <t>1121SHB</t>
  </si>
  <si>
    <t>1122CUCHI</t>
  </si>
  <si>
    <t>1122SHB</t>
  </si>
  <si>
    <t xml:space="preserve"> TGNH TM CP Coâng thöông CN Cuû Chi</t>
  </si>
  <si>
    <t xml:space="preserve">    +Xe taûi ISUZU</t>
  </si>
  <si>
    <t xml:space="preserve">    +Haøng raøo XN CKCB</t>
  </si>
  <si>
    <t xml:space="preserve">        -Naêm thöù 2</t>
  </si>
  <si>
    <t xml:space="preserve">        -Naêm thöù 3</t>
  </si>
  <si>
    <t xml:space="preserve">        -Naêm thöù 4</t>
  </si>
  <si>
    <t xml:space="preserve">        -Naêm thöù 5</t>
  </si>
  <si>
    <t xml:space="preserve">        -Naêm thöù 6</t>
  </si>
  <si>
    <t xml:space="preserve">        -Naêm thöù 7</t>
  </si>
  <si>
    <t xml:space="preserve">        -Naêm thöù 8</t>
  </si>
  <si>
    <t xml:space="preserve">        -Naêm thöù 9</t>
  </si>
  <si>
    <t xml:space="preserve">        -Naêm thöù 10</t>
  </si>
  <si>
    <t xml:space="preserve">        -Naêm thöù 11</t>
  </si>
  <si>
    <t xml:space="preserve">        -Naêm thöù 12</t>
  </si>
  <si>
    <t xml:space="preserve">        -Naêm thöù 13</t>
  </si>
  <si>
    <t xml:space="preserve">        -Naêm thöù 14</t>
  </si>
  <si>
    <t xml:space="preserve">        -Naêm thöù 15</t>
  </si>
  <si>
    <t xml:space="preserve">        -Naêm thöù 16</t>
  </si>
  <si>
    <t xml:space="preserve">        -Naêm thöù 17</t>
  </si>
  <si>
    <t xml:space="preserve">        -Naêm thöù 18</t>
  </si>
  <si>
    <t xml:space="preserve">        -Naêm thöù 19</t>
  </si>
  <si>
    <t>Möùc khaáu hao cho naêm cuoái cuøng (naêm thöù 20) ñöôïc xaùc ñònh baèng giaù trò coøn laïi cuûa vöôøn caây cuûa naêm khai thaùc cuoái cuøng.</t>
  </si>
  <si>
    <t>Caùc khoaûn chi phí ñöôïc ghi nhaän vaøo chi phí taøi chính goàm:</t>
  </si>
  <si>
    <t xml:space="preserve"> -Khoaûn hoaøn nhaäp taøi saûn thueá thu nhaäp hoaõn laïi ñaõ ñöôïc ghi nhaän töø caùc naêm tröôùc</t>
  </si>
  <si>
    <t xml:space="preserve"> Giaûm giaù haøng baùn</t>
  </si>
  <si>
    <t xml:space="preserve">   3. Haøng hoùa nhaän baùn hoä, nhaän kyù göûi, kyù cöôïc</t>
  </si>
  <si>
    <t xml:space="preserve">   6. Döï toaùn chi söï nghieäp, döï aùn</t>
  </si>
  <si>
    <t>THUYEÁT MINH</t>
  </si>
  <si>
    <t>2-Tuyeân boá veà vieäc tuaân thuû Chuaån möïc keá toaùn vaø Cheá ñoä keá toaùn Vieät Nam</t>
  </si>
  <si>
    <t>3-Hình thöùc keá toaùn aùp duïng:</t>
  </si>
  <si>
    <t>I- Caùc khoaûn phaûi thu daøi haïn</t>
  </si>
  <si>
    <t xml:space="preserve">CP ñi vay ñöôïc voán hoùa trong kyø khoâng ñöôïc vöôït quaù toång soá chi phí ñi vay phaùt sinh trong kyø. Caùc khoaûn laõi tieàn vay vaø khoaûn phaân boå chieát </t>
  </si>
  <si>
    <t>khaáu hoaëc phuï troäi ñöôïc voán hoùa trong töøng kyø khoâng ñöôïc vöôït quaù soá laõi vay thöïc teá PS vaø soá phaân boå chieát khaáu hoaëc phuï troäi trong kyø ñoù.</t>
  </si>
  <si>
    <t>soá cheânh leäch giöõa giaù goác cuûa caùc khoaûn ñaàu tö ñöôïc haïch toaùn treân soå keá toaùn lôùn hôn giaù trò thò tröôøng cuûa chuùng taïi thôøi ñieåm laäp döï phoøng.</t>
  </si>
  <si>
    <t>c-Trình baøy giaù trò vaø lyù do cuûa caùc khoaûn tieàn vaø töông ñöông tieàn lôùn do doanh nghieäp naém giöõ nhöng</t>
  </si>
  <si>
    <t>khoâng ñöôïc söû duïng do coù söï haïn cheá cuûa phaùp luaät hoaëc caùc raøng buoäc khaùc maø doanh nghieäp phaûi thöïc hieän.</t>
  </si>
  <si>
    <t>Löu chuyeån tieàn thuaàn töø hoaït ñoäng taøi chính</t>
  </si>
  <si>
    <t>0071</t>
  </si>
  <si>
    <t>0072</t>
  </si>
  <si>
    <t xml:space="preserve"> Chi phí taøi chính</t>
  </si>
  <si>
    <t xml:space="preserve"> Thu nhaäp khaùc</t>
  </si>
  <si>
    <t xml:space="preserve"> Chi phí khaùc</t>
  </si>
  <si>
    <t>KHAÙC</t>
  </si>
  <si>
    <t xml:space="preserve"> -Döï phoøng giaûm giaù haøng toàn kho</t>
  </si>
  <si>
    <t xml:space="preserve"> -Laõi cheânh leäch tyû giaù ñaõ thöïc hieän</t>
  </si>
  <si>
    <t xml:space="preserve"> -Laõi cheânh leäch tyû giaù chöa thöïc hieän</t>
  </si>
  <si>
    <t xml:space="preserve"> -Laõi tieàn vay</t>
  </si>
  <si>
    <t xml:space="preserve"> -Chieát khaáu thanh toaùn, laõi baùn haøng traû chaäm</t>
  </si>
  <si>
    <t xml:space="preserve"> -Loã do thanh lyù caùc khoaûn ñaàu tö ngaén haïn, daøi haïn</t>
  </si>
  <si>
    <t xml:space="preserve"> -Loã baùn ngoaïi teä</t>
  </si>
  <si>
    <t xml:space="preserve"> -Loã cheânh leäch tyû giaù ñaõ thöïc hieän</t>
  </si>
  <si>
    <t xml:space="preserve"> -Loã cheânh leäch tyû giaù chöa thöïc hieän</t>
  </si>
  <si>
    <t xml:space="preserve"> -Döï phoøng giaûm giaù caùc khoaûn ñaàu tö ngaén haïn, daøi haïn</t>
  </si>
  <si>
    <t xml:space="preserve"> -Chi phí taøi chính khaùc</t>
  </si>
  <si>
    <t>29-Doanh thu hoaït ñoäng taøi chính (Maõ soá 21):</t>
  </si>
  <si>
    <t>30-Chi phí taøi chính (Maõ soá 22):</t>
  </si>
  <si>
    <t xml:space="preserve">                   LAÄP BIEÅU                                             KEÁ TOAÙN TRÖÔÛNG</t>
  </si>
  <si>
    <t>HÑ TAØI CHÍNH</t>
  </si>
  <si>
    <t xml:space="preserve">HÑ SXKD </t>
  </si>
  <si>
    <t>a.4) Toång caùc khoaûn thu nhaäp khaùc cuûa CBCNV (Toång caùc khoaûn chi thöïc teá cho CBCNV phaùt sinh</t>
  </si>
  <si>
    <t xml:space="preserve"> Coâng KCB</t>
  </si>
  <si>
    <t xml:space="preserve"> Chi phí thueá TNDN hieän haønh</t>
  </si>
  <si>
    <t xml:space="preserve">        -Khai hoang vaø söûa chöõa xaây döïng caàu ñöôøng;</t>
  </si>
  <si>
    <t xml:space="preserve">        -Xaây laép coâng trình coâng nghieäp daân duïng;</t>
  </si>
  <si>
    <t xml:space="preserve">        -Cöa xeû goã cao su, ñoùng Pallet vaø ñoà duøng gia duïng;</t>
  </si>
  <si>
    <t xml:space="preserve">        -Thöông nghieäp baùn buoân xaêng, daàu, nhôùt;</t>
  </si>
  <si>
    <t xml:space="preserve">        -Xay xaùt haøng noâng saûn;</t>
  </si>
  <si>
    <t xml:space="preserve">        -Dòch vuï aên uoáng;</t>
  </si>
  <si>
    <t xml:space="preserve">        -Kinh doanh vaät tö toång hôïp;</t>
  </si>
  <si>
    <t xml:space="preserve">        -Khaûo saùt, thieát keá caùc coâng trình xaây döïng giao thoâng;</t>
  </si>
  <si>
    <t xml:space="preserve">        -Thi coâng coâng trình thuûy lôïi;</t>
  </si>
  <si>
    <t xml:space="preserve">        -Kinh doanh nhaø ñaát;</t>
  </si>
  <si>
    <t>nghieäp ñaõ phaùt haønh</t>
  </si>
  <si>
    <t>3.Tieàn vay ngaén haïn, daøi haïn nhaän ñöôïc</t>
  </si>
  <si>
    <t>4.Tieàn chi traû nôï goác vay</t>
  </si>
  <si>
    <t>5.Tieàn chi traû nôï thueâ taøi chính</t>
  </si>
  <si>
    <t>6.Coå töùc, lôïi nhuaän ñaõ traû cho chuû sôû höõu</t>
  </si>
  <si>
    <t>Tieàn vaø töông ñöông tieàn ñaàu kyø</t>
  </si>
  <si>
    <t>AÛnh höôûng cuûa thay ñoåi tyû giaù hoái ñoaùi quy ñoåi ngoaïi teä</t>
  </si>
  <si>
    <t xml:space="preserve"> Thueá TNCN</t>
  </si>
  <si>
    <t>Tieàn Vieät Nam</t>
  </si>
  <si>
    <t>Vaøng baïc, kim khí quyù, ñaù quyù</t>
  </si>
  <si>
    <t xml:space="preserve"> Tieàn ñang chuyeån</t>
  </si>
  <si>
    <t>Ñaàu tö chöùng khoaùn ngaén haïn</t>
  </si>
  <si>
    <t>Coå phieáu</t>
  </si>
  <si>
    <t>Traùi phieáu</t>
  </si>
  <si>
    <t>Döï phoøng giaûm giaù ñaàu tö ngaén haïn khaùc</t>
  </si>
  <si>
    <t>Thueá GTGT ñöôïc khaáu tröø cuûa HH, DV</t>
  </si>
  <si>
    <t>LOAÏI IX: XAÙC ÑÒNH KEÁT QUAÛ KINH DOANH</t>
  </si>
  <si>
    <t>COÂNG TRÌNH NGOAØI</t>
  </si>
  <si>
    <t xml:space="preserve"> Chi phí SXKD dôû dang (SX CB skim)</t>
  </si>
  <si>
    <t>TOÅNG GIAÙM ÑOÁC</t>
  </si>
  <si>
    <t>A-TAØI SAÛN NGAÉN HAÏN</t>
  </si>
  <si>
    <t xml:space="preserve">   1. Tieàn </t>
  </si>
  <si>
    <t xml:space="preserve">   2. Caùc khoaûn töông ñöông tieàn</t>
  </si>
  <si>
    <t xml:space="preserve">   1. Ñaàu tö ngaén haïn</t>
  </si>
  <si>
    <t xml:space="preserve">   2. Döï phoøng giaûm giaù CK ñaàu tö ngaén haïn</t>
  </si>
  <si>
    <t>KD NHIEÂN LIEÄU</t>
  </si>
  <si>
    <t xml:space="preserve"> -Baûo hieåm yteá</t>
  </si>
  <si>
    <t xml:space="preserve"> -Baûo hieåm xaõ hoäi</t>
  </si>
  <si>
    <t xml:space="preserve"> -Kinh phí coâng ñoaøn</t>
  </si>
  <si>
    <t xml:space="preserve"> -Chi phí thueá TNDN tính treân thu nhaäp chòu thueá naêm hieän haønh</t>
  </si>
  <si>
    <t xml:space="preserve"> -Ñieàu chænh chi phí thueá TNDN cuûa caùc naêm tröôùc vaøo chi phí thueá thu nhaäp hieän haønh naêm nay</t>
  </si>
  <si>
    <t xml:space="preserve"> -Toång chi phí thueá TNDN hieän haønh</t>
  </si>
  <si>
    <t>32-Chi phí thueá thu nhaäp doanh nghieäp hoaõn laïi (Maõ soá 52):</t>
  </si>
  <si>
    <t>31-Chi phí thueá thu nhaäp doanh nghieäp hieän haønh (Maõ soá 51):</t>
  </si>
  <si>
    <t xml:space="preserve"> -Chi phí thueá thu nhaäp hoaõn laïi phaùt sinh töø caùc khoaûn cheânh leäch taïm thôøi phaûi chòu thueá</t>
  </si>
  <si>
    <t xml:space="preserve"> -Chi phí thueá thu nhaäp hoaõn laïi phaùt sinh töø vieäc hoaøn nhaäp taøi saûn thueá thu nhaäp hoaõn laïi</t>
  </si>
  <si>
    <t>1.Tieàn chi ñeå mua saém, xaây döïng TSCÑ vaø caùc taøi saûn daøi haïn khaùc</t>
  </si>
  <si>
    <t>2.Tieàn thu töø thanh lyù, nhöôïng baùn TSCÑ vaø caùc taøi saûn daøi haïn khaùc</t>
  </si>
  <si>
    <t xml:space="preserve"> -Laõi TGNH</t>
  </si>
  <si>
    <t xml:space="preserve"> -Laõi cho vay</t>
  </si>
  <si>
    <t xml:space="preserve"> -Laõi coå töùc goùp voán</t>
  </si>
  <si>
    <t xml:space="preserve"> -CL tyû giaù taêng trong kyø</t>
  </si>
  <si>
    <t xml:space="preserve"> -Laõi TG TD (NTGD)</t>
  </si>
  <si>
    <t xml:space="preserve"> -Laõi TG TD (NTBC)</t>
  </si>
  <si>
    <t xml:space="preserve"> -Laõi coâng traùi, TPCP</t>
  </si>
  <si>
    <t xml:space="preserve"> -Laõi khaùc</t>
  </si>
  <si>
    <t xml:space="preserve"> -Muû kieåm phaåm</t>
  </si>
  <si>
    <t xml:space="preserve"> -Pheá lieäu</t>
  </si>
  <si>
    <t xml:space="preserve"> -3 NT</t>
  </si>
  <si>
    <t xml:space="preserve"> -Khaùc</t>
  </si>
  <si>
    <t xml:space="preserve"> -Khaùc (HÑ GTGT)</t>
  </si>
  <si>
    <t xml:space="preserve"> -Caân xe</t>
  </si>
  <si>
    <t>3.Tieàn chi cho vay, mua caùc coâng cuï nôï cuûa ñôn vò khaùc</t>
  </si>
  <si>
    <t>4.Tieàn thu hoài cho vay, baùn laïi caùc coâng cuï nôï cuûa ñôn vò khaùc</t>
  </si>
  <si>
    <t>6.Tieàn thu hoài ñaàu tö goùp voán vaøo ñôn vò khaùc</t>
  </si>
  <si>
    <t>7.Tieàn thu laõi cho vay, coå töùc vaø lôïi nhuaän ñöôïc chia</t>
  </si>
  <si>
    <t>1.Tieàn thu töø phaùt haønh coå phieáu, nhaän voán goùp cuûa chuû sôû höõu</t>
  </si>
  <si>
    <t>2.Tieàn chi traû voán goùp cho caùc chuû sôû höõu, mua laïi coå phieáu cuûa doanh</t>
  </si>
  <si>
    <t xml:space="preserve">        -Ñaàu tö troàng, chaêm soùc, khai thaùc, cheá bieán cao su nguyeân lieäu vaø tieâu thuï saûn phaåm;</t>
  </si>
  <si>
    <t xml:space="preserve">        -Coâng nghieäp hoùa chaát, phaân boùn vaø cao su;</t>
  </si>
  <si>
    <t xml:space="preserve">        -Thöông nghieäp baùn buoân;</t>
  </si>
  <si>
    <t>Tyû leä khaáu hao %</t>
  </si>
  <si>
    <t xml:space="preserve"> +Chi phí khaùc: Chi phí khaùc phuïc vuï cho hoaït ñoäng ñaàu tö xaây döïng cô baûn, caûi taïo, naâng caáp TSCÑ trong kyø ñöôïc voán hoùa vaøo TSCÑ ñang</t>
  </si>
  <si>
    <t>8-Nguyeân taéc ghi nhaän chi phí phaûi traû:</t>
  </si>
  <si>
    <t>9-Nguyeân taéc vaø phöông phaùp ghi nhaän caùc khoaûn döï phoøng phaûi traû:</t>
  </si>
  <si>
    <t>11-Nguyeân taéc vaø phöông phaùp ghi nhaän doanh thu:</t>
  </si>
  <si>
    <t>10-Nguyeân taéc ghi nhaän voán chuû sôû höõu:</t>
  </si>
  <si>
    <t>12-Nguyeân taéc vaø phöông phaùp ghi nhaän chi phí taøi chính:</t>
  </si>
  <si>
    <t xml:space="preserve"> -Chi phí hoaëc caùc khoaûn loã lieân quan ñeán caùc hoaït ñoäng ñaàu tö taøi chính;</t>
  </si>
  <si>
    <t xml:space="preserve"> -Chi phí cho vay vaø ñi vay voán;</t>
  </si>
  <si>
    <t xml:space="preserve"> -Caùc khoaûn loã do thay ñoåi tyû giaù hoái ñoaùi cuûa caùc nghieäp vuï phaùt sinh lieân quan ñeán ngoaïi teä;</t>
  </si>
  <si>
    <t xml:space="preserve"> -Döï phoøng giaûm giaù ñaàu tö chöùng khoaùn;</t>
  </si>
  <si>
    <t xml:space="preserve"> -Chi phí thueá thu nhaäp doanh nghieäp hieän haønh ñöôïc xaùc ñònh treân cô sôû thu nhaäp chòu thueá vaø thueá suaát thueá TNDN trong naêm hieän haønh.</t>
  </si>
  <si>
    <t xml:space="preserve"> -Chi phí thueá thu nhaäp doanh nghieäp hoaõn laïi ñöôïc xaùc ñònh treân cô sôû soá cheânh leäch taïm thôøi ñöôïc khaáu tröø, soá cheânh leäch taïm thôøi chòu thueá </t>
  </si>
  <si>
    <t>vaø thueá suaát thueá TNDN.</t>
  </si>
  <si>
    <t>Ngaøy 28/12/2006</t>
  </si>
  <si>
    <t>Ngaøy 01/01/2006</t>
  </si>
  <si>
    <t>6-Taøi saûn ngaén haïn khaùc:</t>
  </si>
  <si>
    <t xml:space="preserve"> -Caùc khoaûn kyù cöôïc, kyù quyõ ngaén haïn</t>
  </si>
  <si>
    <t xml:space="preserve"> -Taøi saûn thieáu chôø xöû lyù</t>
  </si>
  <si>
    <t xml:space="preserve"> -Taïm öùng</t>
  </si>
  <si>
    <t>TỔNG GIAÙM ÑOÁC</t>
  </si>
  <si>
    <t xml:space="preserve"> -Caùc khoaûn töông ñöông tieàn</t>
  </si>
  <si>
    <t>TOÅNG COÄNG</t>
  </si>
  <si>
    <t xml:space="preserve"> Ngoaïi teä taïi quyõ</t>
  </si>
  <si>
    <t xml:space="preserve"> Ngoaïi teä gôûi NH</t>
  </si>
  <si>
    <t xml:space="preserve">   -Thueá GTGT ñaàu vaøo khoâng ñöôïc khaáu tröø:</t>
  </si>
  <si>
    <t xml:space="preserve">   -Thueá GTGT ñaàu vaøo chöa ñöôïc hoaøn:</t>
  </si>
  <si>
    <t>CHÆ TIEÂU</t>
  </si>
  <si>
    <t>Soá löôïng</t>
  </si>
  <si>
    <t>COÄNG</t>
  </si>
  <si>
    <t xml:space="preserve">   3. Ngöôøi mua traû tieàn tröôùc</t>
  </si>
  <si>
    <t xml:space="preserve">   4. Thueá &amp; caùc khoaûn phaûi noäp Nhaø nöôùc</t>
  </si>
  <si>
    <t xml:space="preserve">   6. Chi phí phaûi traû</t>
  </si>
  <si>
    <t xml:space="preserve">   7. Phaûi traû noäi boä </t>
  </si>
  <si>
    <t xml:space="preserve">   8.Phaûi traû theo tieán ñoä KH hôïp ñoàng xaây döïng</t>
  </si>
  <si>
    <t>I- Nôï ngaén haïn</t>
  </si>
  <si>
    <t>II- Nôï daøi haïn</t>
  </si>
  <si>
    <t xml:space="preserve">   1. Phaûi traû daøi haïn ngöôøi baùn</t>
  </si>
  <si>
    <t xml:space="preserve">   2. Phaûi traû daøi haïn noäi boä</t>
  </si>
  <si>
    <t xml:space="preserve">   3. Phaûi traû daøi haïn khaùc</t>
  </si>
  <si>
    <t xml:space="preserve">   4. Vay vaø nôï daøi haïn </t>
  </si>
  <si>
    <t xml:space="preserve">   5. Thueá thu nhaäp hoaõn laïi phaûi traû</t>
  </si>
  <si>
    <t>B-VOÁN CHUÛ SÔÛ HÖÕU</t>
  </si>
  <si>
    <t>I- Voán chuû sôû höõu</t>
  </si>
  <si>
    <t xml:space="preserve">   1. Voán ñaàu tö cuûa chuû sôû höõu</t>
  </si>
  <si>
    <t xml:space="preserve">   2. Thaëng dö voán coå phaàn</t>
  </si>
  <si>
    <t>II- Nguoàn kinh phí vaø quyõ khaùc</t>
  </si>
  <si>
    <t xml:space="preserve">    +Nhaø maùy muû kem</t>
  </si>
  <si>
    <t xml:space="preserve"> -Phí BHXK </t>
  </si>
  <si>
    <t>TOÅNG COÄNG NGUOÀN VOÁN (430 = 300 + 400)</t>
  </si>
  <si>
    <t>CAÙC CHÆ TIEÂU NGOAØI BAÛNG CAÂN ÑOÁI KEÁ TOAÙN</t>
  </si>
  <si>
    <t>Ñôn vò tính: ñoàng</t>
  </si>
  <si>
    <t>1. Doanh thu baùn haøng vaø cung caáp dòch vuï</t>
  </si>
  <si>
    <t>4. Giaù voán haøng baùn</t>
  </si>
  <si>
    <t>5. Lôïi nhuaän goäp veà baùn haøng vaø cung caáp dòch vuï (20 = 10 - 11)</t>
  </si>
  <si>
    <t>6. Doanh thu hoaït ñoäng taøi chính</t>
  </si>
  <si>
    <t>7. Chi phí taøi chính</t>
  </si>
  <si>
    <t xml:space="preserve">      Trong ñoù: Chi phí laõi vay </t>
  </si>
  <si>
    <t>8. Chi phí baùn haøng</t>
  </si>
  <si>
    <t>9. Chi phí quaûn lyù doanh nghieäp</t>
  </si>
  <si>
    <t>10. Lôïi nhuaän thuaàn töø HÑ KD [30 = 20 + (21 - 22) - (24 + 25)]</t>
  </si>
  <si>
    <t>11. Thu nhaäp khaùc</t>
  </si>
  <si>
    <t>12. Chi phí khaùc</t>
  </si>
  <si>
    <t>13. Lôïi nhuaän khaùc (40 = 31 - 32)</t>
  </si>
  <si>
    <t>14. Toång lôïi nhuaän keá toaùn tröôùc thueá (50 = 30 + 40)</t>
  </si>
  <si>
    <t>5.Tieàn chi ñaàu tö goùp voán vaøo ñôn vò khaùc</t>
  </si>
  <si>
    <t>SOÁ DÖ NÔÏ</t>
  </si>
  <si>
    <t>SOÁ DÖ COÙ</t>
  </si>
  <si>
    <t>111, 112, 113</t>
  </si>
  <si>
    <t>121, 128</t>
  </si>
  <si>
    <t>222, 223</t>
  </si>
  <si>
    <t xml:space="preserve"> Chi phí phaûi traû khaùc</t>
  </si>
  <si>
    <t>BAÛN THUYEÁT MINH BAÙO CAÙO TAØI CHÍNH</t>
  </si>
  <si>
    <t>Soá dö ñaàu naêm</t>
  </si>
  <si>
    <t xml:space="preserve"> -Mua trong naêm</t>
  </si>
  <si>
    <t xml:space="preserve"> -Ñaàu tö XDCB hoaøn thaønh</t>
  </si>
  <si>
    <t xml:space="preserve"> -Taêng khaùc</t>
  </si>
  <si>
    <t>Döï phoøng phaûi traû</t>
  </si>
  <si>
    <t xml:space="preserve"> Voán ñaàu tö cuûa chuû sôû höõu (VCÑ)</t>
  </si>
  <si>
    <t xml:space="preserve"> Voán ñaàu tö cuûa chuû sôû höõu (VLÑ)</t>
  </si>
  <si>
    <t>Caùc quyõ khaùc thuoäc voán chuû sôû höõu</t>
  </si>
  <si>
    <t>Coå phieáu quyõ</t>
  </si>
  <si>
    <t>Nhaø cöûa</t>
  </si>
  <si>
    <t>quaûn lyù</t>
  </si>
  <si>
    <t>Thieát bò duïng cuï</t>
  </si>
  <si>
    <t>TSCÑ khaùc</t>
  </si>
  <si>
    <t>Khoaûn muïc</t>
  </si>
  <si>
    <t>*Nguyeân giaù TSCÑ cuoái naêm ñaõ khaáu hao heát nhöng vaãn coøn söû duïng:</t>
  </si>
  <si>
    <t>*Nguyeân giaù TSCÑ cuoái naêm chôø thanh lyù:</t>
  </si>
  <si>
    <t>Trong ñoù: Nhöõng coâng trình lôùn:</t>
  </si>
  <si>
    <t>Naêm nay</t>
  </si>
  <si>
    <t>Naêm tröôùc</t>
  </si>
  <si>
    <t xml:space="preserve"> -Ñaàu tö ngaén haïn khaùc</t>
  </si>
  <si>
    <t xml:space="preserve"> -Ñaàu tö daøi haïn khaùc</t>
  </si>
  <si>
    <t>Coäng</t>
  </si>
  <si>
    <t>*Danh saùch caùc coâng ty con, coâng ty lieân keát, lieân doanh quan troïng</t>
  </si>
  <si>
    <t xml:space="preserve"> -Vay ngaén haïn</t>
  </si>
  <si>
    <t>1-Hình thöùc sôû höõu voán</t>
  </si>
  <si>
    <t xml:space="preserve">    +Vöôøn caây cao su KTCB</t>
  </si>
  <si>
    <t>2-Lónh vöïc kinh doanh</t>
  </si>
  <si>
    <t>3-Ngaønh ngheà kinh doanh</t>
  </si>
  <si>
    <t>1-Nguyeân taéc ghi nhaän caùc khoaûn tieàn vaø caùc khoaûn töông ñöông tieàn:</t>
  </si>
  <si>
    <t>2-Nguyeân taéc ghi nhaän haøng toàn kho:</t>
  </si>
  <si>
    <t>3-Nguyeân taéc ghi nhaän vaø khaáu hao TSCÑ vaø baát ñoäng saûn ñaàu tö:</t>
  </si>
  <si>
    <t>4-Nguyeân taéc ghi nhaän vaø khaáu hao baát ñoäng saûn ñaàu tö:</t>
  </si>
  <si>
    <t>5-Nguyeân taéc ghi nhaän caùc khoaûn ñaàu tö taøi chính:</t>
  </si>
  <si>
    <t>VIII-Nhöõng thoâng tin khaùc</t>
  </si>
  <si>
    <t>7-Nhöõng thoâng tin khaùc</t>
  </si>
  <si>
    <t>1-Nhöõng khoaûn nôï tieàm taøng, khoaûn cam keát vaø nhöõng thoâng tin taøi chính khaùc</t>
  </si>
  <si>
    <t>2-Nhöõng söï kieän phaùt sinh sau ngaøy keát thuùc kyø keá toaùn naêm</t>
  </si>
  <si>
    <t>3-Nhöõng thoâng tin veà caùc beân lieân quan</t>
  </si>
  <si>
    <t>CHEÂNH LEÄCH</t>
  </si>
  <si>
    <t>6=4-5</t>
  </si>
  <si>
    <t>4-Trình baøy taøi saûn, doanh thu, keát quaû kinh doanh theo boä phaän (theo lónh vöïc kinh doanh hoaëc khu vöïc</t>
  </si>
  <si>
    <t>ñòa lyù) theo quy ñònh cuûa Chuaån möïc keá toaùn soá 28 "Baùo caùo boä phaän"</t>
  </si>
  <si>
    <t>5-Thoâng tin so saùnh (nhöõng thay ñoåi veà thoâng tin trong baùo caùo taøi chính cuûa caùc nieän ñoä keá toaùn tröôùc)</t>
  </si>
  <si>
    <t xml:space="preserve"> Ngoaïi teä (TGNH)</t>
  </si>
  <si>
    <t>6-Thoâng tin veà hoaït ñoäng lieân tuïc</t>
  </si>
  <si>
    <t>toaùn cuûa kyø ñoù. Keát quaû cuûa giao dòch cung caáp dòch vuï ñöôïc xaùc ñònh khi thoûa maõn caùc ñieàu kieän sau:</t>
  </si>
  <si>
    <t>dòch vuï lieân quan ñeán nhieàu kyø thì doanh thu ñöôïc ghi nhaän trong kyø theo keát quaû phaàn coâng vieäc ñaõ hoaøn thaønh vaøo ngaøy laäp Baûng Caân ñoái keá</t>
  </si>
  <si>
    <t>ñoäng taøi chính khaùc ñöôïc ghi nhaän khi thoûa maõn ñoàng thôøi hai (2) ñieàu kieän sau:</t>
  </si>
  <si>
    <t>quaû hoaït ñoäng kinh doanh:</t>
  </si>
  <si>
    <t>Caùc chi phí sau ñaây ñaõ phaùt sinh trong naêm taøi chính nhöng ñöôïc haïch toaùn vaøo chi phí traû tröôùc daøi haïn ñeå phaân boå daàn (döôùi 5 naêm) vaøo keát</t>
  </si>
  <si>
    <t>phí ñeå choïn phöông phaùp vaø tieâu thöùc phaân boå hôïp lyù.</t>
  </si>
  <si>
    <t>Vieäc tính vaø phaân boå chi phí traû tröôùc daøi haïn vaøo chi phí saûn xuaát kinh doanh trong kyø haïch toaùn ñöôïc caên cöù vaøo tính chaát, möùc ñoä töøng loaïi chi</t>
  </si>
  <si>
    <t>phí saûn xuaát kinh doanh trong naêm taøi chính.</t>
  </si>
  <si>
    <t>traùi phieáu, caùc khoaûn chi phí phuï phaùt sinh lieân quan tôùi quaù trình laøm thuû tuïc vay.</t>
  </si>
  <si>
    <t xml:space="preserve">ñöôïc tính vaøo giaù trò cuûa taøi saûn ñoù (ñöôïc voán hoùa), bao goàm caùc khoaûn laõi tieàn vay, phaân boå caùc khoaûn chieát khaáu hoaëc phuï troäi khi phaùt haønh </t>
  </si>
  <si>
    <t xml:space="preserve">Vieäc voán hoùa CP ñi vay seõ chaám döùt khi caùc hoaït ñoäng chuû yeáu caàn thieát cho vieäc chuaån bò ñöa TS dôû dang vaøo söû duïng hoaëc baùn ñaõ hoaøn thaønh. </t>
  </si>
  <si>
    <t>Caùc khoaûn thu nhaäp phaùt sinh do ñaàu tö taïm thôøi caùc khoaûn vay rieâng bieät trong khi chôø söû duïng vaøo muïc ñích coù ñöôïc taøi saûn dôû dang thì phaûi</t>
  </si>
  <si>
    <t>ghi giaûm tröø (-) vaøo chi phí ñi vay phaùt sinh khi voán hoùa.</t>
  </si>
  <si>
    <t xml:space="preserve">   6. Döï phoøng trôï caáp maát vieäc laøm</t>
  </si>
  <si>
    <t xml:space="preserve">   7. Döï phoøng phaûi traû daøi haïn</t>
  </si>
  <si>
    <t>(400 = 410 + 430)</t>
  </si>
  <si>
    <t xml:space="preserve"> Phaûi thu cuûa khaùch haøng</t>
  </si>
  <si>
    <t xml:space="preserve"> Phaûi thu </t>
  </si>
  <si>
    <t xml:space="preserve"> Ñaõ thu </t>
  </si>
  <si>
    <t xml:space="preserve"> Phaûi thu noäi boä </t>
  </si>
  <si>
    <t xml:space="preserve"> Phaûi thu noäi boä khaùc</t>
  </si>
  <si>
    <t xml:space="preserve"> Phaûi thu khaùc</t>
  </si>
  <si>
    <t xml:space="preserve"> Taïm öùng</t>
  </si>
  <si>
    <t xml:space="preserve"> Chi phí traû tröôùc</t>
  </si>
  <si>
    <t xml:space="preserve"> Nhieân lieäu </t>
  </si>
  <si>
    <t xml:space="preserve"> Phuï tuøng</t>
  </si>
  <si>
    <t xml:space="preserve"> Vaät lieäu XDCB</t>
  </si>
  <si>
    <t xml:space="preserve"> Coâng cuï-duïng cuï </t>
  </si>
  <si>
    <t xml:space="preserve"> Chi phí SXKD dôû dang</t>
  </si>
  <si>
    <t>töông ñöông tieàn trong coâng ty con hoaëc ñôn vò kinh doanh khaùc ñöôïc mua hoaëc thanh lyù trong kyø.</t>
  </si>
  <si>
    <t xml:space="preserve"> -Phaàn giaù trò taøi saûn (Toång hôïp theo töøng loaïi taøi saûn) vaø nôï phaûi traû khoâng phaûi laø tieàn vaø caùc khoaûn </t>
  </si>
  <si>
    <t xml:space="preserve"> -Soá tieàn vaø caùc khoaûn töông ñöông tieàn thöïc coù trong coâng ty con hoaëc ñôn vò KD khaùc ñöôïc mua hoaëc thanh lyù;</t>
  </si>
  <si>
    <t>doanh nghieäp naém giöõ nhöng khoâng ñöôïc söû duïng</t>
  </si>
  <si>
    <t>34-Caùc giao dòch khoâng baèng tieàn aûnh höôûng ñeán baùo caùo löu chuyeån tieàn teä vaø caùc khoaûn tieàn do</t>
  </si>
  <si>
    <t>002</t>
  </si>
  <si>
    <t>004</t>
  </si>
  <si>
    <t>Vaät tö, haøng hoùa, TSCÑ nhaän giöõ hoä</t>
  </si>
  <si>
    <t>Nôï khoù ñoøi ñaõ xöû lyù</t>
  </si>
  <si>
    <t>Saûn phaåm dôû dang cuoái kyø ñöôïc ñaùnh giaù theo phöông phaùp chi phí nguyeân lieäu vaät lieäu tröïc tieáp.</t>
  </si>
  <si>
    <t>Nhöõng chi phí khoâng ñöôïc tính vaøo giaù goác cuûa haøng toàn kho:</t>
  </si>
  <si>
    <t xml:space="preserve"> -Caùc khoaûn chieát khaáu thöông maïi vaø giaûm giaù haøng mua do haøng mua khoâng ñuùng quy caùch, phaåm chaát;</t>
  </si>
  <si>
    <t xml:space="preserve"> -Chi phí nguyeân vaät lieäu, chi phí nhaân coâng vaø caùc chi phí saûn xuaát, kinh doanh khaùc phaùt sinh treân möùc bình thöôøng;</t>
  </si>
  <si>
    <t xml:space="preserve"> -Chi phí baùn haøng;</t>
  </si>
  <si>
    <t xml:space="preserve"> -Tieàn maët</t>
  </si>
  <si>
    <t xml:space="preserve"> -Tieàn göûi Ngaân haøng</t>
  </si>
  <si>
    <t xml:space="preserve"> -Nguyeân lieäu, vaät lieäu</t>
  </si>
  <si>
    <t xml:space="preserve"> -Coâng cuï, duïng cuï</t>
  </si>
  <si>
    <t>Chi phí söû duïng maùy thi coâng</t>
  </si>
  <si>
    <t xml:space="preserve"> -Thaønh phaåm</t>
  </si>
  <si>
    <t xml:space="preserve"> -Haøng hoùa</t>
  </si>
  <si>
    <t>Coäng giaù goác haøng toàn kho</t>
  </si>
  <si>
    <t xml:space="preserve">    +Thueá GTGT</t>
  </si>
  <si>
    <t xml:space="preserve">    +Thueá TNDN</t>
  </si>
  <si>
    <t xml:space="preserve">    +Thueá nhaäp khaåu</t>
  </si>
  <si>
    <t xml:space="preserve"> TGNH No&amp;PTNT Goø Daàu (coù kyø haïn)</t>
  </si>
  <si>
    <t xml:space="preserve"> TGNH Phoøng giao dòch Goø Daàu (coù kyø haïn)</t>
  </si>
  <si>
    <t xml:space="preserve"> Thaëng dö voán coå phaàn</t>
  </si>
  <si>
    <t xml:space="preserve"> Voán khaùc</t>
  </si>
  <si>
    <t>SOÁ CUOÁI KYØ</t>
  </si>
  <si>
    <t xml:space="preserve">* Muû latex   </t>
  </si>
  <si>
    <t xml:space="preserve">* Muû latex  </t>
  </si>
  <si>
    <t>* Muû skim+taän thu</t>
  </si>
  <si>
    <t xml:space="preserve">          -Thi coâng xaây laép caùc coâng trình giao thoâng, caùc coâng trình theå thao, caáp thoaùt nöôùc, xöû lyù nöôùc thaûi, maïng löôùi ñieän ñeán 35KV, san laép maët baèng.</t>
  </si>
  <si>
    <t xml:space="preserve"> -Tieàn thueâ ñaát Noâng nghieäp</t>
  </si>
  <si>
    <t xml:space="preserve">    +Tieàn thueâ ñaát</t>
  </si>
  <si>
    <t xml:space="preserve">    +Thueá moân baøi</t>
  </si>
  <si>
    <t xml:space="preserve">    +Thueá TNCN</t>
  </si>
  <si>
    <t xml:space="preserve"> -Phaûi thu daøi haïn khaùc</t>
  </si>
  <si>
    <t xml:space="preserve">   2. Vaät tö, haøng hoùa, TSCÑ nhaän giöõ hoä, nhaän gia coâng</t>
  </si>
  <si>
    <t xml:space="preserve">    +Coå töùc ñaõ coâng boá treân coå phieáu öu ñaõi:</t>
  </si>
  <si>
    <t xml:space="preserve"> BHYT caáp kinh phí</t>
  </si>
  <si>
    <t>Ghi chuù:</t>
  </si>
  <si>
    <t xml:space="preserve"> -Trong naêm 2009, coù phaùt sinh hoaït ñoäng thanh lyù caây cao su nhö sau:</t>
  </si>
  <si>
    <t xml:space="preserve">         +Doanh thu</t>
  </si>
  <si>
    <t xml:space="preserve">         +Chi phí</t>
  </si>
  <si>
    <t xml:space="preserve">         +Lôïi nhuaän</t>
  </si>
  <si>
    <t xml:space="preserve"> -Thueá TNDN phaûi noäp theo thueá suaát 25%</t>
  </si>
  <si>
    <t>(Coâng ty ñaõ haïch toaùn phaûi noäp Ngaân saùch)</t>
  </si>
  <si>
    <t xml:space="preserve"> -Ngaøy 31/12/2009, Coâng ty CP Cao su Taây Ninh coù laäp vaø gôûi coâng vaên soá 1146/CSTN-TCKT cho Cuïc Thueá Tænh Taây Ninh v/v: Öu ñaõi thueá TNDN ñoái </t>
  </si>
  <si>
    <t>vôùi thu nhaäp töø caây cao su thanh lyù vaø gaõy ñoå naêm 2009.</t>
  </si>
  <si>
    <t xml:space="preserve"> -Coâng ty seõ ñieàu chænh khi nhaän ñöôïc coâng vaên traû lôøi cuûa Cuïc Thueá Tænh Taây Ninh.</t>
  </si>
  <si>
    <t>Vöôøn caây</t>
  </si>
  <si>
    <t xml:space="preserve"> -Coå töùc cuûa coå phieáu öu ñaõi luõy keá chöa ñöôïc ghi nhaän:</t>
  </si>
  <si>
    <t xml:space="preserve"> -Soá löôïng coå phieáu ñöôïc pheùp phaùt haønh</t>
  </si>
  <si>
    <t xml:space="preserve">    +Coå phieáu öu ñaõi</t>
  </si>
  <si>
    <t xml:space="preserve"> -Soá löôïng coå phieáu ñöôïc mua laïi</t>
  </si>
  <si>
    <t xml:space="preserve"> -Soá löôïng coå phieáu ñang löu haønh</t>
  </si>
  <si>
    <t xml:space="preserve"> -</t>
  </si>
  <si>
    <t xml:space="preserve"> -Nguoàn kinh phí ñöôïc caáp trong naêm</t>
  </si>
  <si>
    <t xml:space="preserve"> -Chi söï nghieäp</t>
  </si>
  <si>
    <t xml:space="preserve"> -Nguoàn kinh phí coøn laïi cuoái kyø</t>
  </si>
  <si>
    <t xml:space="preserve"> -TSCÑ thueâ ngoaøi</t>
  </si>
  <si>
    <t xml:space="preserve"> -Taøi saûn khaùc thueâ ngoaøi</t>
  </si>
  <si>
    <t xml:space="preserve"> -Treân 5 naêm</t>
  </si>
  <si>
    <t xml:space="preserve"> -Laõi tieàn göûi, tieàn cho vay</t>
  </si>
  <si>
    <t xml:space="preserve"> -Coå töùc, lôïi nhuaän ñöôïc chia</t>
  </si>
  <si>
    <t xml:space="preserve"> -Laõi baùn ngoaïi teä</t>
  </si>
  <si>
    <t xml:space="preserve"> -Laõi baùn haøng traû chaäm</t>
  </si>
  <si>
    <t xml:space="preserve"> -Doanh thu hoaït ñoäng taøi chính khaùc</t>
  </si>
  <si>
    <t xml:space="preserve"> -Giaù voán cuûa dòch vuï ñaõ cung caáp</t>
  </si>
  <si>
    <t xml:space="preserve"> -Mua doanh nghieäp thoâng qua phaùt haønh coå phieáu</t>
  </si>
  <si>
    <t xml:space="preserve"> -Chuyeån nôï thaønh voán chuû sôû höõu</t>
  </si>
  <si>
    <t xml:space="preserve"> -Toång giaù trò mua hoaëc thanh lyù;</t>
  </si>
  <si>
    <t xml:space="preserve"> -Phaàn giaù trò mua hoaëc thanh lyù ñöôïc thanh toaùn baèng tieàn vaø caùc khoaûn töông ñöông tieàn;</t>
  </si>
  <si>
    <t>TRAÀN NGOÏC AÅN</t>
  </si>
  <si>
    <t xml:space="preserve"> -Caùc khoaûn phaûi traû, phaûi noäp khaùc</t>
  </si>
  <si>
    <t>19-Phaûi traû daøi haïn noäi boä:</t>
  </si>
  <si>
    <t xml:space="preserve"> -Vay daøi haïn noäi boä</t>
  </si>
  <si>
    <t xml:space="preserve"> -Phaûi traû daøi haïn noäi boä khaùc</t>
  </si>
  <si>
    <t xml:space="preserve"> -Vay Ngaân haøng</t>
  </si>
  <si>
    <t xml:space="preserve"> -Vay ñoái töôïng khaùc</t>
  </si>
  <si>
    <t xml:space="preserve"> -Thueâ taøi chính</t>
  </si>
  <si>
    <t>Soá dö ñaàu naêm tröôùc</t>
  </si>
  <si>
    <t>Soá dö cuoái naêm nay</t>
  </si>
  <si>
    <t>*Giaù trò traùi phieáu ñaõ chuyeån thaønh coå phieáu trong naêm</t>
  </si>
  <si>
    <t xml:space="preserve"> -Voán ñaàu tö cuûa chuû sôû höõu</t>
  </si>
  <si>
    <t xml:space="preserve">    +Voán goùp ñaàu naêm</t>
  </si>
  <si>
    <t xml:space="preserve">    +Voán goùp taêng trong naêm</t>
  </si>
  <si>
    <t xml:space="preserve">    +Voán goùp giaûm trong naêm</t>
  </si>
  <si>
    <t xml:space="preserve">    +Voán goùp cuoái naêm</t>
  </si>
  <si>
    <t xml:space="preserve"> -Coå töùc, lôïi nhuaän ñaõ chia</t>
  </si>
  <si>
    <t xml:space="preserve">    +Toång doanh thu luõy keá cuûa hôïp ñoàng xaây döïng ñöôïc ghi nhaän ñeán thôøi ñieåm laäp baùo caùo taøi chính;</t>
  </si>
  <si>
    <t xml:space="preserve"> -Chieát khaáu thöông maïi</t>
  </si>
  <si>
    <t xml:space="preserve"> -Giaûm giaù haøng baùn</t>
  </si>
  <si>
    <t xml:space="preserve"> -Haøng baùn bò traû laïi</t>
  </si>
  <si>
    <t xml:space="preserve"> -Thueá GTGT phaûi noäp (phöông phaùp tröïc tieáp)</t>
  </si>
  <si>
    <t xml:space="preserve"> -Thueá xuaát khaåu</t>
  </si>
  <si>
    <t xml:space="preserve"> -Thueá tieâu thuï ñaëc bieät</t>
  </si>
  <si>
    <t>26-Caùc khoaûn giaûm tröø doanh thu (Maõ soá 02):</t>
  </si>
  <si>
    <t>27-Doanh thu thuaàn veà baùn haøng vaø cung caáp dòch vuï (Maõ soá 10):</t>
  </si>
  <si>
    <t>28-Giaù voán haøng baùn (Maõ soá 11):</t>
  </si>
  <si>
    <t xml:space="preserve"> -Giaù voán cuûa haøng hoùa ñaõ baùn</t>
  </si>
  <si>
    <t xml:space="preserve"> -Giaù voán cuûa thaønh phaåm ñaõ baùn</t>
  </si>
  <si>
    <t>16.1-Thueá phaûi noäp Nhaø nöôùc</t>
  </si>
  <si>
    <t>16.2-Caùc khoaûn phaûi noäp khaùc</t>
  </si>
  <si>
    <t xml:space="preserve"> -Caùc khoaûn phí, leä phí</t>
  </si>
  <si>
    <t xml:space="preserve"> -Caùc khoaûn phaûi noäp khaùc</t>
  </si>
  <si>
    <t>17-Chi phí phaûi traû:</t>
  </si>
  <si>
    <t>16-Thueá vaø caùc khoaûn phaûi noäp Nhaø nöôùc:</t>
  </si>
  <si>
    <t>Caùc khoaûn treân ñöôïc ghi nhaän theo toång soá phaùt sinh trong, khoâng buø tröø vôùi doanh thu hoaït ñoäng taøi chính.</t>
  </si>
  <si>
    <t xml:space="preserve">     +Tieàn thuø lao HĐQT &amp; BKS</t>
  </si>
  <si>
    <t>13-Nguyeân taéc vaø phöông phaùp ghi nhaän chi phí tthueá thu nhaäp doanh nghieäp hieän haønh, chi phí thueá thu nhaäp hoaõn laïi:</t>
  </si>
  <si>
    <t>14-Caùc nghieäp vuï döï phoønp ruûi ro hoái ñoaùi:</t>
  </si>
  <si>
    <t>15-Caùc nguyeân taéc vaø phöông phaùp keá toaùn khaùc:</t>
  </si>
  <si>
    <t>V-Thoâng tin boå sung cho caùc khoaûn muïc trình baøy treân Baûng caân ñoái keá toaùn:</t>
  </si>
  <si>
    <t>1-Tieàn:</t>
  </si>
  <si>
    <t>Cuoái naêm</t>
  </si>
  <si>
    <t>2-Caùc khoaûn ñaàu tö taøi chính ngaén haïn:</t>
  </si>
  <si>
    <t>Ñaàu naêm</t>
  </si>
  <si>
    <t xml:space="preserve"> -Chöùng khoaùn ñaàu tö ngaén haïn</t>
  </si>
  <si>
    <t xml:space="preserve"> -Döï phoøng giaûm giaù ñaàu tö ngaén haïn</t>
  </si>
  <si>
    <t>3-Caùc khoaûn phaûi thu ngaén haïn khaùc:</t>
  </si>
  <si>
    <t xml:space="preserve"> -Phaûi thu khaùc</t>
  </si>
  <si>
    <t>4-Haøng toàn kho:</t>
  </si>
  <si>
    <t xml:space="preserve"> -Haøng mua ñang ñi ñöôøng</t>
  </si>
  <si>
    <t xml:space="preserve"> -Chi phí SX, KD dôû dang</t>
  </si>
  <si>
    <t>Ngaøy 31/12/2008</t>
  </si>
  <si>
    <t xml:space="preserve"> -Haøng göûi ñi baùn</t>
  </si>
  <si>
    <t xml:space="preserve"> -Haøng hoùa kho baûo thueá</t>
  </si>
  <si>
    <t xml:space="preserve"> -Haøng hoùa baát ñoäng saûn</t>
  </si>
  <si>
    <t>coù che coät</t>
  </si>
  <si>
    <t xml:space="preserve"> -Caùc khoaûn khaùc phaûi thu Nhaø nöôùc</t>
  </si>
  <si>
    <t>5-Thueá vaø caùc khoaûn phaûi thu Nhaø nöôùc:</t>
  </si>
  <si>
    <t>7-Phaûi thu daøi haïn khaùc:</t>
  </si>
  <si>
    <t xml:space="preserve"> -Kyù quyõ, kyù cöôïc daøi haïn</t>
  </si>
  <si>
    <t xml:space="preserve"> -Caùc khoaûn tieàn nhaän uûy thaùc</t>
  </si>
  <si>
    <t xml:space="preserve"> -Cho vay khoâng coù laõi</t>
  </si>
  <si>
    <t>8-Taêng, giaûm TSCÑ höõu hình:</t>
  </si>
  <si>
    <t>Phaûi traû veà coå phaàn hoùa (Toång Cty)</t>
  </si>
  <si>
    <t>*Giaù trò ghi soå cuûa haøng toàn khoduøng ñeå theá chaáp, caàm coá ñaûm baûo caùc khoaûn nôï phaûi traû:</t>
  </si>
  <si>
    <t>*Giaù trò hoaøn nhaäp döï phoøng giaûm giaù haøng toàn kho trong naêm:</t>
  </si>
  <si>
    <t>*Caùc tröôøng hôïp hoaëc söï kieän daãn ñeán phaûi trích theâm hoaëc hoaøn nhaäp döï phoøng giaûm giaù haøng toàn kho:</t>
  </si>
  <si>
    <t>Cheânh leäch tyû giaù</t>
  </si>
  <si>
    <t>hoái ñoaùi</t>
  </si>
  <si>
    <t xml:space="preserve"> -Taêng trong naêm tröôùc</t>
  </si>
  <si>
    <t xml:space="preserve"> -Giaûm trong naêm tröôùc</t>
  </si>
  <si>
    <t xml:space="preserve"> -Taêng trong naêm nay</t>
  </si>
  <si>
    <t xml:space="preserve"> -Giaûm trong naêm nay</t>
  </si>
  <si>
    <t xml:space="preserve">        Giaáy Chöùng nhaän ñaêng kyù kinh doanh soá 4503000058, ñaêng kyù laàn ñaàu ngaøy 28/12/2006.</t>
  </si>
  <si>
    <t xml:space="preserve">        Coâng ty Coå phaàn Cao su Taây Ninh ñöôïc thaønh laäp theo Quyeát ñònh soá 3549/2004/QÑ-BNN-ÑMDN ngaøy 21 thaùng 11 naêm 2006 cuûa Boä Noâng</t>
  </si>
  <si>
    <t>nghieäp vaø Phaùt trieån Noâng thoân, Toång Coâng ty Cao su Vieät Nam laø Chuû sôû höõu.</t>
  </si>
  <si>
    <t>*Giaù trò coøn laïi cuoái naêm cuûa TSCÑ höõu hình ñaõ duøng theá chaáp, caàm coá ñaûm baûo caùc khoaûn vay:</t>
  </si>
  <si>
    <t>*Caùc cam keát veà vieäc mua, baùn TSCÑ höõu hình coù giaù trò lôùn trong töông lai:</t>
  </si>
  <si>
    <t>*Caùc thay ñoåi khaùc veà TSCÑ höõu hình:</t>
  </si>
  <si>
    <t xml:space="preserve"> 4. Tieàn thueâ ñaát </t>
  </si>
  <si>
    <t xml:space="preserve"> 5. Thueá moân baøi</t>
  </si>
  <si>
    <t xml:space="preserve"> 6. Thueá thu nhaäp caù nhaân</t>
  </si>
  <si>
    <t xml:space="preserve"> 1. Thueá GTGT </t>
  </si>
  <si>
    <t>I-Nguyeân giaù TSCÑ thueâ TC</t>
  </si>
  <si>
    <t xml:space="preserve"> -Thueâ taøi chính trong naêm</t>
  </si>
  <si>
    <t xml:space="preserve"> -Mua laïi TSCÑ thueâ taøi chính</t>
  </si>
  <si>
    <t xml:space="preserve"> -Traû laïi TSCÑ thueâ taøi chính</t>
  </si>
  <si>
    <t>III-GTCL cuûa TSCÑ thueâ TC</t>
  </si>
  <si>
    <t>*Caên cöù ñeå xaùc ñònh tieàn thueâ phaùt sinh theâm:</t>
  </si>
  <si>
    <t>*Tieàn phaùt sinh theâm ñöôïc ghi nhaän trong naêm:</t>
  </si>
  <si>
    <t>*Ñieàu khoaûn gia haïn thueâ hoaëc quyeàn ñöôïc mua taøi saûn:</t>
  </si>
  <si>
    <t>I-Nguyeân giaù TSCÑ voâ hình</t>
  </si>
  <si>
    <t xml:space="preserve"> -Taêng do hôïp nhaát kinh doanh</t>
  </si>
  <si>
    <t>*Thuyeát minh soá lieäu vaø giaûi trình khaùc:</t>
  </si>
  <si>
    <t>11-Chi phí XDCB dôû dang</t>
  </si>
  <si>
    <t xml:space="preserve"> -Toång chi phí XDCB dôû dang:</t>
  </si>
  <si>
    <t>12-Taêng, giaûm baát ñoäng saûn ñaàu tö:</t>
  </si>
  <si>
    <t>Nguyeân giaù BÑS ñaàu tö</t>
  </si>
  <si>
    <t xml:space="preserve"> -Quyeàn söû duïng ñaát</t>
  </si>
  <si>
    <t xml:space="preserve"> -Nhaø</t>
  </si>
  <si>
    <t xml:space="preserve"> -Nhaø vaø quyeàn söû duïng ñaát</t>
  </si>
  <si>
    <t xml:space="preserve"> -Cô sôû haï taàng</t>
  </si>
  <si>
    <t>Giaù trò hao moøn luõy keá</t>
  </si>
  <si>
    <t>SX thuøng phuy theùp</t>
  </si>
  <si>
    <t xml:space="preserve"> -TSCÑ thanh lyù</t>
  </si>
  <si>
    <t>Giaù trò coøn laïi cuûa BÑS ñaàu tö</t>
  </si>
  <si>
    <t>Soá</t>
  </si>
  <si>
    <t>ñaàu naêm</t>
  </si>
  <si>
    <t>trong naêm</t>
  </si>
  <si>
    <t>cuoái naêm</t>
  </si>
  <si>
    <t xml:space="preserve"> -Ñaàu tö coå phieáu</t>
  </si>
  <si>
    <t xml:space="preserve"> -Ñaàu tö traùi phieáu</t>
  </si>
  <si>
    <t xml:space="preserve"> -Ñaàu tö tín phieáu, kyù phieáu</t>
  </si>
  <si>
    <t>Vaät kieán truùc</t>
  </si>
  <si>
    <t xml:space="preserve"> -Taêng khaùc (ÑGL)</t>
  </si>
  <si>
    <t>I-Ñaëc ñieåm hoaït ñoäng cuûa doanh nghieäp:</t>
  </si>
  <si>
    <t>III-Chuaån möïc vaø cheá ñoä keá toaùn aùp duïng:</t>
  </si>
  <si>
    <t>II-Kyø keá toaùn, ñôn vò tieàn teä söû duïng trong keá toaùn:</t>
  </si>
  <si>
    <t>IV-Caùc chính saùch keá toaùn aùp duïng:</t>
  </si>
  <si>
    <t>Taêng</t>
  </si>
  <si>
    <t>Giaûm</t>
  </si>
  <si>
    <t>phöông phaùp giaù goác. LN thuaàn ñöôïc chia töø coâng ty con, coâng ty lieân keát phaùt sinh sau ngaøy ñaàu tö ñöôïc ghi nhaän vaøo Baùo caùo KQ HÑKD.</t>
  </si>
  <si>
    <t xml:space="preserve"> *TTXK</t>
  </si>
  <si>
    <t xml:space="preserve"> *Noäi ñòa</t>
  </si>
  <si>
    <t>ÑUÙNG</t>
  </si>
  <si>
    <t xml:space="preserve">BAÛNG TIEÂU THUÏ VAØ LAÕI LOÃ 9 thaùng naêm 2010 </t>
  </si>
  <si>
    <t>quí 3 naêm 2009</t>
  </si>
  <si>
    <t xml:space="preserve"> TP Muû coám Thu mua</t>
  </si>
  <si>
    <t>TÌNH HÌNH THÖÏC HIEÄN NGHÓA VUÏ VÔÙI NGAÂN SAÙCH NHAØ NÖÔÙC 9 thaùng naêm 2010</t>
  </si>
  <si>
    <t>BAÙO CAÙO KEÁT QUAÛ HOAÏT ÑOÄNG KINH DOANH quí 3 naêm 2010</t>
  </si>
  <si>
    <t>Ngaøy 30 thaùng 09 naêm 2010</t>
  </si>
  <si>
    <t>1-Kyø keá toaùn cuûa Coâng ty baét ñaàu töø ngaøy 01/01 vaø keát thuùc vaøo ngaøy 39/06.</t>
  </si>
  <si>
    <t>BAÙO CAÙO LÖU CHUYEÅN TIEÀN TEÄ 9 thaùng naêm 2010</t>
  </si>
  <si>
    <t xml:space="preserve">BAÛNG CAÂN ÑOÁI SOÁ PHAÙT SINH 9 thaùng naêm 2010 </t>
  </si>
  <si>
    <t xml:space="preserve">9 THAÙNG NAÊM 2010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</si>
</sst>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000"/>
    <numFmt numFmtId="171" formatCode="0.000"/>
    <numFmt numFmtId="172" formatCode="0.00000000"/>
    <numFmt numFmtId="173" formatCode="0.0000000"/>
    <numFmt numFmtId="174" formatCode="0.000000"/>
    <numFmt numFmtId="175" formatCode="0.00000"/>
    <numFmt numFmtId="176" formatCode="0.0000"/>
    <numFmt numFmtId="177" formatCode="#,##0.0"/>
    <numFmt numFmtId="178" formatCode="0.0000E+00"/>
    <numFmt numFmtId="179" formatCode="0.000E+00"/>
    <numFmt numFmtId="180" formatCode="0.0E+00"/>
    <numFmt numFmtId="181" formatCode="0E+00"/>
    <numFmt numFmtId="182" formatCode="0.0"/>
    <numFmt numFmtId="183" formatCode="0.0000000000"/>
    <numFmt numFmtId="184" formatCode="0.00000000000"/>
    <numFmt numFmtId="185" formatCode="0.00000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mm/dd/yy"/>
    <numFmt numFmtId="194" formatCode="0.00_);[Red]\(0.00\)"/>
    <numFmt numFmtId="195" formatCode="0_);\(0\)"/>
  </numFmts>
  <fonts count="79">
    <font>
      <sz val="12"/>
      <name val="VNI-Times"/>
      <family val="0"/>
    </font>
    <font>
      <b/>
      <sz val="12"/>
      <name val="VNI-Times"/>
      <family val="0"/>
    </font>
    <font>
      <i/>
      <sz val="12"/>
      <name val="VNI-Times"/>
      <family val="0"/>
    </font>
    <font>
      <b/>
      <i/>
      <sz val="12"/>
      <name val="VNI-Times"/>
      <family val="0"/>
    </font>
    <font>
      <b/>
      <sz val="14"/>
      <name val="VNI-Times"/>
      <family val="0"/>
    </font>
    <font>
      <b/>
      <sz val="13"/>
      <name val="VNI-Times"/>
      <family val="0"/>
    </font>
    <font>
      <b/>
      <sz val="12"/>
      <color indexed="12"/>
      <name val="VNI-Times"/>
      <family val="0"/>
    </font>
    <font>
      <sz val="12"/>
      <color indexed="12"/>
      <name val="VNI-Times"/>
      <family val="0"/>
    </font>
    <font>
      <i/>
      <sz val="12"/>
      <color indexed="12"/>
      <name val="VNI-Times"/>
      <family val="0"/>
    </font>
    <font>
      <b/>
      <i/>
      <sz val="12"/>
      <color indexed="12"/>
      <name val="VNI-Times"/>
      <family val="0"/>
    </font>
    <font>
      <sz val="18"/>
      <name val="VNI-Avo"/>
      <family val="0"/>
    </font>
    <font>
      <sz val="12"/>
      <color indexed="14"/>
      <name val="VNI-Times"/>
      <family val="0"/>
    </font>
    <font>
      <sz val="8"/>
      <name val="Tahoma"/>
      <family val="0"/>
    </font>
    <font>
      <b/>
      <sz val="8"/>
      <name val="Tahoma"/>
      <family val="0"/>
    </font>
    <font>
      <sz val="14"/>
      <name val="VNI-Avo"/>
      <family val="0"/>
    </font>
    <font>
      <sz val="16"/>
      <name val="VNI-Avo"/>
      <family val="0"/>
    </font>
    <font>
      <sz val="12"/>
      <color indexed="10"/>
      <name val="VNI-Times"/>
      <family val="0"/>
    </font>
    <font>
      <sz val="22"/>
      <color indexed="12"/>
      <name val="VNI-Avo"/>
      <family val="0"/>
    </font>
    <font>
      <sz val="14"/>
      <color indexed="12"/>
      <name val="VNI-Avo"/>
      <family val="0"/>
    </font>
    <font>
      <sz val="12"/>
      <name val="VNI-Helve"/>
      <family val="0"/>
    </font>
    <font>
      <sz val="11"/>
      <name val="VNI-Times"/>
      <family val="0"/>
    </font>
    <font>
      <b/>
      <sz val="14"/>
      <color indexed="12"/>
      <name val="VNI-Times"/>
      <family val="0"/>
    </font>
    <font>
      <sz val="13"/>
      <color indexed="12"/>
      <name val="VNI-Times"/>
      <family val="0"/>
    </font>
    <font>
      <sz val="12"/>
      <name val="Tahoma"/>
      <family val="2"/>
    </font>
    <font>
      <sz val="12"/>
      <color indexed="20"/>
      <name val="VNI-Times"/>
      <family val="0"/>
    </font>
    <font>
      <i/>
      <sz val="9"/>
      <name val="VNI-Times"/>
      <family val="0"/>
    </font>
    <font>
      <i/>
      <sz val="14"/>
      <color indexed="12"/>
      <name val="VNI-Times"/>
      <family val="0"/>
    </font>
    <font>
      <i/>
      <sz val="14"/>
      <name val="VNI-Times"/>
      <family val="0"/>
    </font>
    <font>
      <i/>
      <sz val="12"/>
      <name val="VNI-Avo"/>
      <family val="0"/>
    </font>
    <font>
      <b/>
      <sz val="12"/>
      <color indexed="10"/>
      <name val="VNI-Times"/>
      <family val="0"/>
    </font>
    <font>
      <sz val="10"/>
      <name val="Tahoma"/>
      <family val="2"/>
    </font>
    <font>
      <sz val="11"/>
      <name val="Tahoma"/>
      <family val="2"/>
    </font>
    <font>
      <b/>
      <i/>
      <sz val="13"/>
      <name val="VNI-Times"/>
      <family val="0"/>
    </font>
    <font>
      <i/>
      <sz val="10"/>
      <name val="VNI-Times"/>
      <family val="0"/>
    </font>
    <font>
      <i/>
      <sz val="12"/>
      <color indexed="20"/>
      <name val="VNI-Times"/>
      <family val="0"/>
    </font>
    <font>
      <i/>
      <sz val="14"/>
      <color indexed="14"/>
      <name val="VNI-Times"/>
      <family val="0"/>
    </font>
    <font>
      <sz val="10"/>
      <name val="VNI-Times"/>
      <family val="0"/>
    </font>
    <font>
      <sz val="15"/>
      <name val="Tahoma"/>
      <family val="2"/>
    </font>
    <font>
      <b/>
      <sz val="12"/>
      <color indexed="20"/>
      <name val="VNI-Times"/>
      <family val="0"/>
    </font>
    <font>
      <b/>
      <sz val="20"/>
      <name val="VNI-Times"/>
      <family val="0"/>
    </font>
    <font>
      <sz val="18"/>
      <name val="VNI-Times"/>
      <family val="0"/>
    </font>
    <font>
      <b/>
      <sz val="10"/>
      <name val="VNI-Times"/>
      <family val="0"/>
    </font>
    <font>
      <b/>
      <sz val="11"/>
      <name val="VNI-Times"/>
      <family val="0"/>
    </font>
    <font>
      <b/>
      <sz val="12"/>
      <name val="VNI-Helve"/>
      <family val="0"/>
    </font>
    <font>
      <b/>
      <sz val="14"/>
      <name val="VNI-Garam"/>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NI-Time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tted"/>
      <bottom style="dotted"/>
    </border>
    <border>
      <left style="thin"/>
      <right style="thin"/>
      <top style="thin"/>
      <bottom style="dotted"/>
    </border>
    <border>
      <left style="thin"/>
      <right style="thin"/>
      <top style="dotted"/>
      <bottom style="thin"/>
    </border>
    <border>
      <left style="thin"/>
      <right>
        <color indexed="63"/>
      </right>
      <top style="dotted"/>
      <bottom style="dotted"/>
    </border>
    <border>
      <left style="thin"/>
      <right>
        <color indexed="63"/>
      </right>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dotted"/>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dotted"/>
      <bottom>
        <color indexed="63"/>
      </bottom>
    </border>
    <border>
      <left style="thin"/>
      <right style="thin"/>
      <top style="dotted"/>
      <bottom>
        <color indexed="63"/>
      </bottom>
    </border>
    <border>
      <left>
        <color indexed="63"/>
      </left>
      <right style="thin"/>
      <top style="dotted"/>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26">
    <xf numFmtId="0" fontId="0" fillId="0" borderId="0" xfId="0" applyAlignment="1">
      <alignment/>
    </xf>
    <xf numFmtId="0" fontId="1" fillId="0" borderId="10" xfId="0" applyFont="1" applyBorder="1" applyAlignment="1">
      <alignment horizontal="center"/>
    </xf>
    <xf numFmtId="0" fontId="1" fillId="0" borderId="11" xfId="0" applyFont="1" applyBorder="1" applyAlignment="1">
      <alignment/>
    </xf>
    <xf numFmtId="0" fontId="1" fillId="0" borderId="12" xfId="0" applyFont="1" applyBorder="1" applyAlignment="1">
      <alignment/>
    </xf>
    <xf numFmtId="3" fontId="1" fillId="0" borderId="12" xfId="0" applyNumberFormat="1" applyFont="1" applyBorder="1" applyAlignment="1">
      <alignment/>
    </xf>
    <xf numFmtId="3" fontId="1" fillId="0" borderId="11" xfId="0" applyNumberFormat="1" applyFont="1" applyBorder="1" applyAlignment="1">
      <alignment/>
    </xf>
    <xf numFmtId="0" fontId="1" fillId="0" borderId="0" xfId="0" applyFont="1" applyAlignment="1">
      <alignment/>
    </xf>
    <xf numFmtId="0" fontId="3" fillId="0" borderId="0" xfId="0" applyFont="1" applyAlignment="1">
      <alignment/>
    </xf>
    <xf numFmtId="3" fontId="0" fillId="0" borderId="11" xfId="0" applyNumberFormat="1" applyFont="1" applyBorder="1" applyAlignment="1">
      <alignment/>
    </xf>
    <xf numFmtId="3" fontId="2" fillId="0" borderId="11" xfId="0" applyNumberFormat="1" applyFont="1" applyBorder="1" applyAlignment="1">
      <alignment/>
    </xf>
    <xf numFmtId="3" fontId="3" fillId="0" borderId="11" xfId="0" applyNumberFormat="1" applyFont="1" applyBorder="1" applyAlignment="1">
      <alignment/>
    </xf>
    <xf numFmtId="0" fontId="0" fillId="0" borderId="0" xfId="0" applyFont="1" applyAlignment="1">
      <alignment/>
    </xf>
    <xf numFmtId="0" fontId="0" fillId="0" borderId="0" xfId="0" applyFont="1" applyAlignment="1">
      <alignment/>
    </xf>
    <xf numFmtId="0" fontId="1" fillId="0" borderId="12" xfId="0" applyFont="1" applyBorder="1" applyAlignment="1">
      <alignment horizontal="center"/>
    </xf>
    <xf numFmtId="0" fontId="1" fillId="0" borderId="11" xfId="0" applyFont="1" applyBorder="1" applyAlignment="1">
      <alignment horizontal="center"/>
    </xf>
    <xf numFmtId="0" fontId="0" fillId="0" borderId="11" xfId="0" applyFont="1" applyBorder="1" applyAlignment="1">
      <alignment/>
    </xf>
    <xf numFmtId="0" fontId="0" fillId="0" borderId="13" xfId="0" applyFont="1" applyBorder="1" applyAlignment="1">
      <alignment/>
    </xf>
    <xf numFmtId="3" fontId="0" fillId="0" borderId="13" xfId="0" applyNumberFormat="1" applyFont="1" applyBorder="1" applyAlignment="1">
      <alignment/>
    </xf>
    <xf numFmtId="3" fontId="0" fillId="0" borderId="0" xfId="0" applyNumberFormat="1" applyFont="1" applyAlignment="1">
      <alignment/>
    </xf>
    <xf numFmtId="3" fontId="0" fillId="0" borderId="14" xfId="0" applyNumberFormat="1" applyFont="1" applyBorder="1" applyAlignment="1">
      <alignment/>
    </xf>
    <xf numFmtId="0" fontId="0" fillId="0" borderId="14" xfId="0" applyFont="1" applyBorder="1" applyAlignment="1">
      <alignment/>
    </xf>
    <xf numFmtId="0" fontId="0" fillId="0" borderId="0" xfId="0" applyFont="1" applyAlignment="1">
      <alignment/>
    </xf>
    <xf numFmtId="0" fontId="0" fillId="0" borderId="0" xfId="0" applyFont="1" applyBorder="1" applyAlignment="1">
      <alignment/>
    </xf>
    <xf numFmtId="3" fontId="0" fillId="0" borderId="12" xfId="0" applyNumberFormat="1" applyFont="1" applyBorder="1" applyAlignment="1">
      <alignment/>
    </xf>
    <xf numFmtId="3" fontId="0" fillId="0" borderId="0" xfId="0" applyNumberFormat="1" applyFont="1" applyBorder="1" applyAlignment="1">
      <alignment/>
    </xf>
    <xf numFmtId="0" fontId="0" fillId="0" borderId="12" xfId="0" applyFont="1" applyBorder="1" applyAlignment="1">
      <alignment/>
    </xf>
    <xf numFmtId="0" fontId="0" fillId="0" borderId="11" xfId="0" applyFont="1" applyBorder="1" applyAlignment="1">
      <alignment horizontal="center"/>
    </xf>
    <xf numFmtId="0" fontId="1" fillId="0" borderId="14" xfId="0" applyFont="1" applyBorder="1" applyAlignment="1">
      <alignment/>
    </xf>
    <xf numFmtId="3" fontId="1" fillId="0" borderId="14" xfId="0" applyNumberFormat="1" applyFont="1" applyBorder="1" applyAlignment="1">
      <alignment/>
    </xf>
    <xf numFmtId="0" fontId="0" fillId="0" borderId="15" xfId="0" applyFont="1" applyBorder="1" applyAlignment="1">
      <alignment/>
    </xf>
    <xf numFmtId="0" fontId="1" fillId="0" borderId="10" xfId="0" applyFont="1" applyBorder="1" applyAlignment="1">
      <alignment horizontal="center" vertical="center"/>
    </xf>
    <xf numFmtId="0" fontId="0" fillId="0" borderId="0" xfId="0" applyFont="1" applyBorder="1" applyAlignment="1">
      <alignment/>
    </xf>
    <xf numFmtId="0" fontId="1" fillId="0" borderId="16" xfId="0" applyFont="1" applyBorder="1" applyAlignment="1">
      <alignment horizontal="centerContinuous"/>
    </xf>
    <xf numFmtId="0" fontId="0" fillId="0" borderId="17" xfId="0" applyFont="1" applyBorder="1" applyAlignment="1">
      <alignment horizontal="centerContinuous"/>
    </xf>
    <xf numFmtId="0" fontId="0" fillId="0" borderId="18" xfId="0" applyFont="1" applyBorder="1" applyAlignment="1">
      <alignment horizontal="centerContinuous"/>
    </xf>
    <xf numFmtId="0" fontId="1" fillId="0" borderId="17" xfId="0" applyFont="1" applyBorder="1" applyAlignment="1">
      <alignment horizontal="centerContinuous"/>
    </xf>
    <xf numFmtId="0" fontId="1" fillId="0" borderId="18" xfId="0" applyFont="1" applyBorder="1" applyAlignment="1">
      <alignment horizontal="centerContinuous"/>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1" fillId="0" borderId="14" xfId="0" applyFont="1" applyBorder="1" applyAlignment="1">
      <alignment horizontal="center"/>
    </xf>
    <xf numFmtId="0" fontId="1" fillId="0" borderId="21" xfId="0" applyFont="1" applyBorder="1" applyAlignment="1">
      <alignment/>
    </xf>
    <xf numFmtId="0" fontId="0" fillId="0" borderId="14" xfId="0" applyFont="1" applyBorder="1" applyAlignment="1">
      <alignment horizontal="center"/>
    </xf>
    <xf numFmtId="3" fontId="0" fillId="0" borderId="21" xfId="0" applyNumberFormat="1" applyFont="1" applyBorder="1" applyAlignment="1">
      <alignment/>
    </xf>
    <xf numFmtId="3" fontId="1" fillId="0" borderId="21" xfId="0" applyNumberFormat="1" applyFont="1" applyBorder="1" applyAlignment="1">
      <alignment/>
    </xf>
    <xf numFmtId="0" fontId="1" fillId="0" borderId="0" xfId="0" applyFont="1" applyBorder="1" applyAlignment="1">
      <alignment/>
    </xf>
    <xf numFmtId="3" fontId="1" fillId="0" borderId="15" xfId="0" applyNumberFormat="1" applyFont="1" applyBorder="1" applyAlignment="1">
      <alignment/>
    </xf>
    <xf numFmtId="0" fontId="0" fillId="0" borderId="22" xfId="0" applyFont="1" applyBorder="1" applyAlignment="1">
      <alignment/>
    </xf>
    <xf numFmtId="0" fontId="1" fillId="0" borderId="13" xfId="0" applyFont="1" applyBorder="1" applyAlignment="1">
      <alignment horizontal="right"/>
    </xf>
    <xf numFmtId="0" fontId="1" fillId="0" borderId="0" xfId="0" applyFont="1" applyBorder="1" applyAlignment="1">
      <alignment horizontal="center"/>
    </xf>
    <xf numFmtId="0" fontId="0" fillId="0" borderId="0" xfId="0" applyFont="1" applyBorder="1" applyAlignment="1">
      <alignment horizontal="centerContinuous"/>
    </xf>
    <xf numFmtId="0" fontId="0" fillId="0" borderId="0" xfId="0" applyFont="1" applyBorder="1" applyAlignment="1">
      <alignment horizontal="centerContinuous"/>
    </xf>
    <xf numFmtId="0" fontId="0" fillId="0" borderId="0" xfId="0" applyFont="1" applyBorder="1" applyAlignment="1">
      <alignment/>
    </xf>
    <xf numFmtId="0" fontId="4" fillId="0" borderId="10" xfId="0" applyFont="1" applyBorder="1" applyAlignment="1">
      <alignment horizontal="center"/>
    </xf>
    <xf numFmtId="0" fontId="5" fillId="0" borderId="10" xfId="0" applyFont="1" applyBorder="1" applyAlignment="1">
      <alignment horizontal="center"/>
    </xf>
    <xf numFmtId="0" fontId="4" fillId="0" borderId="10" xfId="0" applyFont="1" applyBorder="1" applyAlignment="1">
      <alignment horizontal="centerContinuous"/>
    </xf>
    <xf numFmtId="0" fontId="1" fillId="0" borderId="10" xfId="0" applyFont="1" applyBorder="1" applyAlignment="1">
      <alignment horizontal="centerContinuous"/>
    </xf>
    <xf numFmtId="0" fontId="1" fillId="0" borderId="12" xfId="0" applyFont="1" applyBorder="1" applyAlignment="1">
      <alignment/>
    </xf>
    <xf numFmtId="0" fontId="1" fillId="0" borderId="13" xfId="0" applyFont="1" applyBorder="1" applyAlignment="1">
      <alignment horizontal="center"/>
    </xf>
    <xf numFmtId="3" fontId="1" fillId="0" borderId="13" xfId="0" applyNumberFormat="1" applyFont="1" applyBorder="1" applyAlignment="1">
      <alignment/>
    </xf>
    <xf numFmtId="0" fontId="1" fillId="0" borderId="0" xfId="0" applyFont="1" applyBorder="1" applyAlignment="1">
      <alignment horizontal="right"/>
    </xf>
    <xf numFmtId="3" fontId="1" fillId="0" borderId="0" xfId="0" applyNumberFormat="1" applyFont="1" applyBorder="1" applyAlignment="1">
      <alignment/>
    </xf>
    <xf numFmtId="0" fontId="0" fillId="0" borderId="13"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11" xfId="0" applyFont="1" applyBorder="1" applyAlignment="1" quotePrefix="1">
      <alignment horizontal="center"/>
    </xf>
    <xf numFmtId="0" fontId="0" fillId="0" borderId="0" xfId="0" applyFont="1" applyAlignment="1">
      <alignment/>
    </xf>
    <xf numFmtId="37" fontId="0" fillId="0" borderId="11" xfId="0" applyNumberFormat="1" applyFont="1" applyBorder="1" applyAlignment="1">
      <alignment/>
    </xf>
    <xf numFmtId="0" fontId="1" fillId="0" borderId="23" xfId="0" applyFont="1" applyBorder="1" applyAlignment="1">
      <alignment vertical="center"/>
    </xf>
    <xf numFmtId="3" fontId="7" fillId="0" borderId="11" xfId="0" applyNumberFormat="1" applyFont="1" applyBorder="1" applyAlignment="1">
      <alignment/>
    </xf>
    <xf numFmtId="3" fontId="6" fillId="0" borderId="11" xfId="0" applyNumberFormat="1" applyFont="1" applyBorder="1" applyAlignment="1">
      <alignment/>
    </xf>
    <xf numFmtId="3" fontId="8" fillId="0" borderId="11" xfId="0" applyNumberFormat="1" applyFont="1" applyBorder="1" applyAlignment="1">
      <alignment/>
    </xf>
    <xf numFmtId="3" fontId="7" fillId="0" borderId="14" xfId="0" applyNumberFormat="1" applyFont="1" applyBorder="1" applyAlignment="1">
      <alignment/>
    </xf>
    <xf numFmtId="0" fontId="7" fillId="0" borderId="0" xfId="0" applyFont="1" applyBorder="1" applyAlignment="1">
      <alignment/>
    </xf>
    <xf numFmtId="0" fontId="7" fillId="0" borderId="11" xfId="0" applyFont="1" applyBorder="1" applyAlignment="1">
      <alignment/>
    </xf>
    <xf numFmtId="0" fontId="7" fillId="0" borderId="0" xfId="0" applyFont="1" applyAlignment="1">
      <alignment/>
    </xf>
    <xf numFmtId="3" fontId="7" fillId="0" borderId="0" xfId="0" applyNumberFormat="1" applyFont="1" applyAlignment="1">
      <alignment/>
    </xf>
    <xf numFmtId="0" fontId="8" fillId="0" borderId="11" xfId="0" applyFont="1" applyBorder="1" applyAlignment="1">
      <alignment/>
    </xf>
    <xf numFmtId="0" fontId="7" fillId="0" borderId="13" xfId="0" applyFont="1" applyBorder="1" applyAlignment="1">
      <alignment/>
    </xf>
    <xf numFmtId="0" fontId="7" fillId="0" borderId="11" xfId="0" applyFont="1" applyBorder="1" applyAlignment="1">
      <alignment horizontal="center"/>
    </xf>
    <xf numFmtId="3" fontId="1" fillId="0" borderId="0" xfId="0" applyNumberFormat="1" applyFont="1" applyAlignment="1">
      <alignment/>
    </xf>
    <xf numFmtId="0" fontId="3" fillId="0" borderId="11" xfId="0" applyFont="1" applyBorder="1" applyAlignment="1">
      <alignment horizontal="center"/>
    </xf>
    <xf numFmtId="0" fontId="3" fillId="0" borderId="0" xfId="0" applyFont="1" applyBorder="1" applyAlignment="1">
      <alignment/>
    </xf>
    <xf numFmtId="0" fontId="0" fillId="0" borderId="13" xfId="0" applyFont="1" applyBorder="1" applyAlignment="1">
      <alignment horizontal="center"/>
    </xf>
    <xf numFmtId="0" fontId="2" fillId="0" borderId="0" xfId="0" applyFont="1" applyAlignment="1">
      <alignment/>
    </xf>
    <xf numFmtId="0" fontId="0" fillId="0" borderId="0" xfId="0" applyFont="1" applyBorder="1" applyAlignment="1">
      <alignment horizontal="center"/>
    </xf>
    <xf numFmtId="38" fontId="0" fillId="0" borderId="11" xfId="0" applyNumberFormat="1" applyFont="1" applyBorder="1" applyAlignment="1">
      <alignment/>
    </xf>
    <xf numFmtId="0" fontId="2" fillId="0" borderId="0" xfId="0" applyFont="1" applyBorder="1" applyAlignment="1">
      <alignment/>
    </xf>
    <xf numFmtId="0" fontId="0" fillId="0" borderId="0" xfId="0" applyFont="1" applyBorder="1" applyAlignment="1">
      <alignment horizontal="center"/>
    </xf>
    <xf numFmtId="0" fontId="11"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xf>
    <xf numFmtId="0" fontId="0" fillId="0" borderId="0" xfId="0" applyFont="1" applyFill="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xf numFmtId="37" fontId="16" fillId="0" borderId="11" xfId="0" applyNumberFormat="1" applyFont="1" applyBorder="1" applyAlignment="1">
      <alignment/>
    </xf>
    <xf numFmtId="3" fontId="1" fillId="0" borderId="0" xfId="0" applyNumberFormat="1" applyFont="1" applyAlignment="1">
      <alignment horizontal="center"/>
    </xf>
    <xf numFmtId="3" fontId="3" fillId="0" borderId="0" xfId="0" applyNumberFormat="1" applyFont="1" applyAlignment="1">
      <alignment horizontal="center"/>
    </xf>
    <xf numFmtId="0" fontId="8" fillId="0" borderId="0" xfId="0" applyFont="1" applyBorder="1" applyAlignment="1">
      <alignment/>
    </xf>
    <xf numFmtId="0" fontId="17" fillId="0" borderId="0" xfId="0" applyFont="1" applyBorder="1" applyAlignment="1">
      <alignment horizontal="centerContinuous"/>
    </xf>
    <xf numFmtId="0" fontId="18" fillId="0" borderId="0" xfId="0" applyFont="1" applyBorder="1" applyAlignment="1">
      <alignment horizontal="centerContinuous"/>
    </xf>
    <xf numFmtId="0" fontId="19" fillId="0" borderId="0" xfId="0" applyFont="1" applyBorder="1" applyAlignment="1">
      <alignment/>
    </xf>
    <xf numFmtId="170" fontId="0" fillId="0" borderId="11" xfId="0" applyNumberFormat="1" applyFont="1" applyBorder="1" applyAlignment="1">
      <alignment/>
    </xf>
    <xf numFmtId="0" fontId="0" fillId="0" borderId="0" xfId="0" applyFont="1" applyAlignment="1">
      <alignment/>
    </xf>
    <xf numFmtId="3" fontId="0" fillId="0" borderId="0" xfId="0" applyNumberFormat="1" applyFont="1" applyAlignment="1">
      <alignment/>
    </xf>
    <xf numFmtId="0" fontId="1" fillId="0" borderId="24" xfId="0" applyFont="1" applyBorder="1" applyAlignment="1">
      <alignment horizontal="center"/>
    </xf>
    <xf numFmtId="0" fontId="1" fillId="0" borderId="12" xfId="0" applyFont="1" applyBorder="1" applyAlignment="1" quotePrefix="1">
      <alignment horizontal="center"/>
    </xf>
    <xf numFmtId="0" fontId="1" fillId="0" borderId="11" xfId="0" applyFont="1" applyBorder="1" applyAlignment="1" quotePrefix="1">
      <alignment horizontal="center"/>
    </xf>
    <xf numFmtId="3" fontId="0" fillId="0" borderId="19" xfId="0" applyNumberFormat="1" applyFont="1" applyBorder="1" applyAlignment="1">
      <alignment/>
    </xf>
    <xf numFmtId="0" fontId="19"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23" xfId="0" applyFont="1" applyBorder="1" applyAlignment="1">
      <alignment/>
    </xf>
    <xf numFmtId="0" fontId="1" fillId="0" borderId="25" xfId="0" applyFont="1" applyBorder="1" applyAlignment="1">
      <alignment horizontal="centerContinuous"/>
    </xf>
    <xf numFmtId="0" fontId="0" fillId="0" borderId="26" xfId="0" applyFont="1" applyBorder="1" applyAlignment="1">
      <alignment horizontal="centerContinuous"/>
    </xf>
    <xf numFmtId="0" fontId="1" fillId="0" borderId="27" xfId="0" applyFont="1" applyBorder="1" applyAlignment="1">
      <alignment horizontal="centerContinuous"/>
    </xf>
    <xf numFmtId="0" fontId="0" fillId="0" borderId="28" xfId="0" applyFont="1" applyBorder="1" applyAlignment="1">
      <alignment horizontal="centerContinuous"/>
    </xf>
    <xf numFmtId="0" fontId="0" fillId="0" borderId="29" xfId="0" applyFont="1" applyBorder="1" applyAlignment="1">
      <alignment/>
    </xf>
    <xf numFmtId="0" fontId="1" fillId="0" borderId="30" xfId="0" applyFont="1" applyBorder="1" applyAlignment="1">
      <alignment horizontal="centerContinuous"/>
    </xf>
    <xf numFmtId="0" fontId="0" fillId="0" borderId="31" xfId="0" applyFont="1" applyBorder="1" applyAlignment="1">
      <alignment horizontal="centerContinuous"/>
    </xf>
    <xf numFmtId="0" fontId="0" fillId="0" borderId="22" xfId="0" applyFont="1" applyBorder="1" applyAlignment="1">
      <alignment/>
    </xf>
    <xf numFmtId="0" fontId="0" fillId="0" borderId="12" xfId="0" applyFont="1" applyBorder="1" applyAlignment="1">
      <alignment horizontal="center"/>
    </xf>
    <xf numFmtId="0" fontId="10" fillId="0" borderId="0" xfId="0" applyFont="1" applyBorder="1" applyAlignment="1">
      <alignment horizontal="centerContinuous"/>
    </xf>
    <xf numFmtId="0" fontId="0" fillId="0" borderId="0" xfId="0" applyFont="1" applyBorder="1" applyAlignment="1">
      <alignment horizontal="centerContinuous"/>
    </xf>
    <xf numFmtId="0" fontId="7" fillId="0" borderId="0" xfId="0" applyFont="1" applyBorder="1" applyAlignment="1">
      <alignment horizontal="center"/>
    </xf>
    <xf numFmtId="0" fontId="21" fillId="0" borderId="10" xfId="0" applyFont="1" applyBorder="1" applyAlignment="1">
      <alignment horizontal="centerContinuous" vertical="center"/>
    </xf>
    <xf numFmtId="0" fontId="7" fillId="0" borderId="0" xfId="0" applyFont="1" applyBorder="1" applyAlignment="1">
      <alignment horizontal="center" vertical="center"/>
    </xf>
    <xf numFmtId="0" fontId="7" fillId="0" borderId="0" xfId="0" applyFont="1" applyBorder="1" applyAlignment="1">
      <alignment vertical="center"/>
    </xf>
    <xf numFmtId="4" fontId="7" fillId="0" borderId="11" xfId="0" applyNumberFormat="1" applyFont="1" applyBorder="1" applyAlignment="1">
      <alignment horizontal="right"/>
    </xf>
    <xf numFmtId="0" fontId="9" fillId="0" borderId="0" xfId="0" applyFont="1" applyBorder="1" applyAlignment="1">
      <alignment horizontal="left"/>
    </xf>
    <xf numFmtId="0" fontId="6" fillId="0" borderId="0" xfId="0" applyFont="1" applyBorder="1" applyAlignment="1">
      <alignment/>
    </xf>
    <xf numFmtId="0" fontId="22" fillId="0" borderId="0" xfId="0" applyFont="1" applyBorder="1" applyAlignment="1">
      <alignment/>
    </xf>
    <xf numFmtId="38" fontId="0" fillId="0" borderId="13" xfId="0" applyNumberFormat="1" applyFont="1" applyBorder="1" applyAlignment="1">
      <alignment/>
    </xf>
    <xf numFmtId="3" fontId="0" fillId="0" borderId="0" xfId="0" applyNumberFormat="1" applyFont="1" applyAlignment="1">
      <alignment/>
    </xf>
    <xf numFmtId="0" fontId="0" fillId="0" borderId="0" xfId="0" applyFont="1" applyAlignment="1">
      <alignment/>
    </xf>
    <xf numFmtId="0" fontId="6" fillId="0" borderId="11" xfId="0" applyFont="1" applyBorder="1" applyAlignment="1">
      <alignment/>
    </xf>
    <xf numFmtId="0" fontId="1" fillId="0" borderId="13" xfId="0" applyFont="1" applyBorder="1" applyAlignment="1">
      <alignment/>
    </xf>
    <xf numFmtId="38" fontId="7" fillId="0" borderId="13" xfId="0" applyNumberFormat="1" applyFont="1" applyBorder="1" applyAlignment="1">
      <alignment/>
    </xf>
    <xf numFmtId="38" fontId="1" fillId="0" borderId="11" xfId="0" applyNumberFormat="1" applyFont="1" applyBorder="1" applyAlignment="1">
      <alignment/>
    </xf>
    <xf numFmtId="3" fontId="1" fillId="0" borderId="0" xfId="0" applyNumberFormat="1" applyFont="1" applyBorder="1" applyAlignment="1">
      <alignment horizontal="center"/>
    </xf>
    <xf numFmtId="3" fontId="0" fillId="0" borderId="32" xfId="0" applyNumberFormat="1" applyFont="1" applyBorder="1" applyAlignment="1">
      <alignment/>
    </xf>
    <xf numFmtId="0" fontId="8" fillId="0" borderId="14" xfId="0" applyFont="1" applyBorder="1" applyAlignment="1">
      <alignment/>
    </xf>
    <xf numFmtId="0" fontId="6" fillId="0" borderId="11" xfId="0" applyFont="1" applyBorder="1" applyAlignment="1">
      <alignment horizontal="center"/>
    </xf>
    <xf numFmtId="3" fontId="9" fillId="0" borderId="11" xfId="0" applyNumberFormat="1" applyFont="1" applyBorder="1" applyAlignment="1">
      <alignment/>
    </xf>
    <xf numFmtId="0" fontId="7" fillId="0" borderId="14" xfId="0" applyFont="1" applyBorder="1" applyAlignment="1">
      <alignment/>
    </xf>
    <xf numFmtId="3" fontId="6" fillId="0" borderId="14" xfId="0" applyNumberFormat="1" applyFont="1" applyBorder="1" applyAlignment="1">
      <alignment/>
    </xf>
    <xf numFmtId="0" fontId="7" fillId="0" borderId="21" xfId="0" applyFont="1" applyBorder="1" applyAlignment="1">
      <alignment/>
    </xf>
    <xf numFmtId="0" fontId="3" fillId="0" borderId="0" xfId="0" applyFont="1" applyAlignment="1">
      <alignment horizontal="center"/>
    </xf>
    <xf numFmtId="0" fontId="20" fillId="0" borderId="0" xfId="0" applyFont="1" applyAlignment="1">
      <alignment/>
    </xf>
    <xf numFmtId="4" fontId="0" fillId="0" borderId="0" xfId="0" applyNumberFormat="1" applyFont="1" applyAlignment="1">
      <alignment/>
    </xf>
    <xf numFmtId="3" fontId="0" fillId="0" borderId="23" xfId="0" applyNumberFormat="1" applyFont="1" applyBorder="1" applyAlignment="1">
      <alignment horizontal="center"/>
    </xf>
    <xf numFmtId="3" fontId="0" fillId="0" borderId="29" xfId="0" applyNumberFormat="1" applyFont="1" applyBorder="1" applyAlignment="1">
      <alignment horizontal="center"/>
    </xf>
    <xf numFmtId="3" fontId="20" fillId="0" borderId="29" xfId="0" applyNumberFormat="1" applyFont="1" applyBorder="1" applyAlignment="1">
      <alignment horizontal="center"/>
    </xf>
    <xf numFmtId="3" fontId="0" fillId="0" borderId="29" xfId="0" applyNumberFormat="1" applyFont="1" applyBorder="1" applyAlignment="1">
      <alignment horizontal="center"/>
    </xf>
    <xf numFmtId="0" fontId="2" fillId="0" borderId="24" xfId="0" applyFont="1" applyFill="1" applyBorder="1" applyAlignment="1">
      <alignment/>
    </xf>
    <xf numFmtId="0" fontId="2" fillId="0" borderId="0" xfId="0" applyFont="1" applyFill="1" applyBorder="1" applyAlignment="1">
      <alignment/>
    </xf>
    <xf numFmtId="3" fontId="0" fillId="0" borderId="24" xfId="0" applyNumberFormat="1" applyFont="1" applyBorder="1" applyAlignment="1">
      <alignment horizontal="center"/>
    </xf>
    <xf numFmtId="0" fontId="0" fillId="0" borderId="23" xfId="0" applyFont="1" applyBorder="1" applyAlignment="1">
      <alignment/>
    </xf>
    <xf numFmtId="3" fontId="7" fillId="0" borderId="0" xfId="0" applyNumberFormat="1" applyFont="1" applyBorder="1" applyAlignment="1">
      <alignment/>
    </xf>
    <xf numFmtId="3" fontId="6" fillId="0" borderId="0" xfId="0" applyNumberFormat="1" applyFont="1" applyAlignment="1">
      <alignment/>
    </xf>
    <xf numFmtId="3" fontId="6" fillId="0" borderId="11" xfId="0" applyNumberFormat="1" applyFont="1" applyBorder="1" applyAlignment="1">
      <alignment/>
    </xf>
    <xf numFmtId="0" fontId="6" fillId="0" borderId="0" xfId="0" applyFont="1" applyAlignment="1">
      <alignment/>
    </xf>
    <xf numFmtId="0" fontId="24" fillId="0" borderId="11" xfId="0" applyFont="1" applyBorder="1" applyAlignment="1">
      <alignment/>
    </xf>
    <xf numFmtId="3" fontId="24" fillId="0" borderId="11" xfId="0" applyNumberFormat="1" applyFont="1" applyBorder="1" applyAlignment="1">
      <alignment/>
    </xf>
    <xf numFmtId="3" fontId="7" fillId="0" borderId="13" xfId="0" applyNumberFormat="1" applyFont="1" applyBorder="1" applyAlignment="1">
      <alignment/>
    </xf>
    <xf numFmtId="0" fontId="9" fillId="0" borderId="0" xfId="0" applyFont="1" applyBorder="1" applyAlignment="1">
      <alignment/>
    </xf>
    <xf numFmtId="0" fontId="8" fillId="0" borderId="0" xfId="0" applyFont="1" applyAlignment="1">
      <alignment/>
    </xf>
    <xf numFmtId="0" fontId="9" fillId="0" borderId="11" xfId="0" applyFont="1" applyBorder="1" applyAlignment="1">
      <alignment horizontal="center"/>
    </xf>
    <xf numFmtId="0" fontId="9" fillId="0" borderId="11" xfId="0" applyFont="1" applyBorder="1" applyAlignment="1">
      <alignment/>
    </xf>
    <xf numFmtId="0" fontId="1" fillId="0" borderId="19" xfId="0" applyFont="1" applyBorder="1" applyAlignment="1">
      <alignment/>
    </xf>
    <xf numFmtId="3" fontId="0" fillId="0" borderId="33" xfId="0" applyNumberFormat="1" applyFont="1" applyBorder="1" applyAlignment="1">
      <alignment/>
    </xf>
    <xf numFmtId="3" fontId="6" fillId="0" borderId="20" xfId="0" applyNumberFormat="1" applyFont="1" applyBorder="1" applyAlignment="1">
      <alignment horizontal="center"/>
    </xf>
    <xf numFmtId="3" fontId="0" fillId="0" borderId="34" xfId="0" applyNumberFormat="1" applyFont="1" applyBorder="1" applyAlignment="1">
      <alignment/>
    </xf>
    <xf numFmtId="3" fontId="7" fillId="0" borderId="21" xfId="0" applyNumberFormat="1" applyFont="1" applyBorder="1" applyAlignment="1">
      <alignment/>
    </xf>
    <xf numFmtId="0" fontId="1" fillId="0" borderId="14" xfId="0" applyFont="1" applyBorder="1" applyAlignment="1">
      <alignment horizontal="right"/>
    </xf>
    <xf numFmtId="3" fontId="6" fillId="0" borderId="21" xfId="0" applyNumberFormat="1" applyFont="1" applyBorder="1" applyAlignment="1">
      <alignment/>
    </xf>
    <xf numFmtId="3" fontId="6" fillId="0" borderId="21" xfId="0" applyNumberFormat="1" applyFont="1" applyBorder="1" applyAlignment="1">
      <alignment horizontal="center"/>
    </xf>
    <xf numFmtId="0" fontId="0" fillId="0" borderId="14" xfId="0" applyFont="1" applyFill="1" applyBorder="1" applyAlignment="1">
      <alignment/>
    </xf>
    <xf numFmtId="0" fontId="1" fillId="0" borderId="15" xfId="0" applyFont="1" applyBorder="1" applyAlignment="1">
      <alignment horizontal="right"/>
    </xf>
    <xf numFmtId="3" fontId="0" fillId="0" borderId="35" xfId="0" applyNumberFormat="1" applyFont="1" applyBorder="1" applyAlignment="1">
      <alignment/>
    </xf>
    <xf numFmtId="3" fontId="6" fillId="0" borderId="22" xfId="0" applyNumberFormat="1" applyFont="1" applyBorder="1" applyAlignment="1">
      <alignment/>
    </xf>
    <xf numFmtId="3" fontId="6" fillId="0" borderId="12" xfId="0" applyNumberFormat="1" applyFont="1" applyBorder="1" applyAlignment="1">
      <alignment horizontal="center"/>
    </xf>
    <xf numFmtId="3" fontId="6" fillId="0" borderId="11" xfId="0" applyNumberFormat="1" applyFont="1" applyBorder="1" applyAlignment="1">
      <alignment horizontal="center"/>
    </xf>
    <xf numFmtId="3" fontId="6" fillId="0" borderId="13" xfId="0" applyNumberFormat="1" applyFont="1" applyBorder="1" applyAlignment="1">
      <alignment/>
    </xf>
    <xf numFmtId="3" fontId="2" fillId="0" borderId="34" xfId="0" applyNumberFormat="1" applyFont="1" applyBorder="1" applyAlignment="1">
      <alignment/>
    </xf>
    <xf numFmtId="3" fontId="8" fillId="0" borderId="34" xfId="0" applyNumberFormat="1" applyFont="1" applyBorder="1" applyAlignment="1">
      <alignment/>
    </xf>
    <xf numFmtId="3" fontId="8" fillId="0" borderId="21" xfId="0" applyNumberFormat="1" applyFont="1" applyBorder="1" applyAlignment="1">
      <alignment/>
    </xf>
    <xf numFmtId="0" fontId="1" fillId="0" borderId="14" xfId="0" applyFont="1" applyBorder="1" applyAlignment="1">
      <alignment/>
    </xf>
    <xf numFmtId="0" fontId="1" fillId="0" borderId="14" xfId="0" applyFont="1" applyFill="1" applyBorder="1" applyAlignment="1">
      <alignment horizontal="right"/>
    </xf>
    <xf numFmtId="0" fontId="2" fillId="0" borderId="14" xfId="0" applyFont="1" applyBorder="1" applyAlignment="1">
      <alignment/>
    </xf>
    <xf numFmtId="3" fontId="2" fillId="0" borderId="21" xfId="0" applyNumberFormat="1" applyFont="1" applyBorder="1" applyAlignment="1">
      <alignment/>
    </xf>
    <xf numFmtId="3" fontId="0" fillId="0" borderId="11" xfId="0" applyNumberFormat="1" applyFont="1" applyBorder="1" applyAlignment="1">
      <alignment horizontal="center"/>
    </xf>
    <xf numFmtId="0" fontId="2" fillId="0" borderId="11" xfId="0" applyFont="1" applyFill="1" applyBorder="1" applyAlignment="1">
      <alignment/>
    </xf>
    <xf numFmtId="0" fontId="2" fillId="0" borderId="14" xfId="0" applyFont="1" applyFill="1" applyBorder="1" applyAlignment="1">
      <alignment/>
    </xf>
    <xf numFmtId="3" fontId="0" fillId="0" borderId="14" xfId="0" applyNumberFormat="1" applyFont="1" applyBorder="1" applyAlignment="1">
      <alignment horizontal="center"/>
    </xf>
    <xf numFmtId="38" fontId="7" fillId="0" borderId="21" xfId="0" applyNumberFormat="1" applyFont="1" applyBorder="1" applyAlignment="1">
      <alignment/>
    </xf>
    <xf numFmtId="3" fontId="0" fillId="0" borderId="22" xfId="0" applyNumberFormat="1" applyFont="1" applyBorder="1" applyAlignment="1">
      <alignment/>
    </xf>
    <xf numFmtId="3" fontId="1" fillId="0" borderId="21" xfId="0" applyNumberFormat="1" applyFont="1" applyBorder="1" applyAlignment="1">
      <alignment horizontal="center"/>
    </xf>
    <xf numFmtId="3" fontId="1" fillId="0" borderId="11" xfId="0" applyNumberFormat="1" applyFont="1" applyBorder="1" applyAlignment="1">
      <alignment horizontal="center"/>
    </xf>
    <xf numFmtId="0" fontId="20" fillId="0" borderId="14" xfId="0" applyFont="1" applyBorder="1" applyAlignment="1">
      <alignment/>
    </xf>
    <xf numFmtId="3" fontId="0" fillId="0" borderId="34" xfId="0" applyNumberFormat="1" applyFont="1" applyBorder="1" applyAlignment="1">
      <alignment/>
    </xf>
    <xf numFmtId="0" fontId="0" fillId="0" borderId="14" xfId="0" applyFont="1" applyBorder="1" applyAlignment="1">
      <alignment/>
    </xf>
    <xf numFmtId="0" fontId="0" fillId="0" borderId="14" xfId="0" applyFont="1" applyBorder="1" applyAlignment="1">
      <alignment/>
    </xf>
    <xf numFmtId="0" fontId="20" fillId="0" borderId="14" xfId="0" applyFont="1" applyBorder="1" applyAlignment="1">
      <alignment/>
    </xf>
    <xf numFmtId="0" fontId="8" fillId="0" borderId="15" xfId="0" applyFont="1" applyBorder="1" applyAlignment="1">
      <alignment/>
    </xf>
    <xf numFmtId="3" fontId="8" fillId="0" borderId="35" xfId="0" applyNumberFormat="1" applyFont="1" applyBorder="1" applyAlignment="1">
      <alignment/>
    </xf>
    <xf numFmtId="3" fontId="8" fillId="0" borderId="22" xfId="0" applyNumberFormat="1" applyFont="1" applyBorder="1" applyAlignment="1">
      <alignment/>
    </xf>
    <xf numFmtId="3" fontId="0" fillId="0" borderId="11" xfId="0" applyNumberFormat="1" applyFont="1" applyBorder="1" applyAlignment="1">
      <alignment/>
    </xf>
    <xf numFmtId="3" fontId="8" fillId="0" borderId="0" xfId="0" applyNumberFormat="1" applyFont="1" applyBorder="1" applyAlignment="1">
      <alignment/>
    </xf>
    <xf numFmtId="0" fontId="1" fillId="0" borderId="15" xfId="0" applyFont="1" applyBorder="1" applyAlignment="1">
      <alignment/>
    </xf>
    <xf numFmtId="3" fontId="6" fillId="0" borderId="22" xfId="0" applyNumberFormat="1" applyFont="1" applyBorder="1" applyAlignment="1">
      <alignment horizontal="center"/>
    </xf>
    <xf numFmtId="3" fontId="6" fillId="0" borderId="13" xfId="0" applyNumberFormat="1" applyFont="1" applyBorder="1" applyAlignment="1">
      <alignment horizontal="center"/>
    </xf>
    <xf numFmtId="0" fontId="1" fillId="0" borderId="36" xfId="0" applyFont="1" applyBorder="1" applyAlignment="1">
      <alignment horizontal="right"/>
    </xf>
    <xf numFmtId="0" fontId="1" fillId="0" borderId="36" xfId="0" applyFont="1" applyBorder="1" applyAlignment="1">
      <alignment horizontal="center"/>
    </xf>
    <xf numFmtId="3" fontId="1" fillId="0" borderId="36" xfId="0" applyNumberFormat="1" applyFont="1" applyBorder="1" applyAlignment="1">
      <alignment/>
    </xf>
    <xf numFmtId="0" fontId="2" fillId="0" borderId="0" xfId="0" applyFont="1" applyAlignment="1">
      <alignment horizontal="center"/>
    </xf>
    <xf numFmtId="0" fontId="25" fillId="0" borderId="0" xfId="0" applyFont="1" applyAlignment="1">
      <alignment horizontal="center"/>
    </xf>
    <xf numFmtId="38" fontId="1" fillId="0" borderId="12" xfId="0" applyNumberFormat="1" applyFont="1" applyBorder="1" applyAlignment="1">
      <alignment/>
    </xf>
    <xf numFmtId="38" fontId="3" fillId="0" borderId="11" xfId="0" applyNumberFormat="1" applyFont="1" applyBorder="1" applyAlignment="1">
      <alignment/>
    </xf>
    <xf numFmtId="37" fontId="29" fillId="0" borderId="11" xfId="0" applyNumberFormat="1" applyFont="1" applyBorder="1" applyAlignment="1">
      <alignment/>
    </xf>
    <xf numFmtId="3" fontId="1" fillId="0" borderId="12" xfId="0" applyNumberFormat="1" applyFont="1" applyBorder="1" applyAlignment="1">
      <alignment horizontal="center"/>
    </xf>
    <xf numFmtId="0" fontId="16" fillId="0" borderId="0" xfId="0" applyFont="1" applyAlignment="1">
      <alignment/>
    </xf>
    <xf numFmtId="0" fontId="1" fillId="0" borderId="0" xfId="0" applyFont="1" applyAlignment="1">
      <alignment horizontal="center"/>
    </xf>
    <xf numFmtId="0" fontId="1" fillId="0" borderId="0" xfId="0" applyFont="1" applyFill="1" applyBorder="1" applyAlignment="1">
      <alignment/>
    </xf>
    <xf numFmtId="0" fontId="0" fillId="0" borderId="14" xfId="0" applyFont="1" applyBorder="1" applyAlignment="1">
      <alignment horizontal="left"/>
    </xf>
    <xf numFmtId="0" fontId="6" fillId="0" borderId="21" xfId="0" applyFont="1" applyBorder="1" applyAlignment="1">
      <alignment/>
    </xf>
    <xf numFmtId="3" fontId="0" fillId="0" borderId="15" xfId="0" applyNumberFormat="1" applyFont="1" applyBorder="1" applyAlignment="1">
      <alignment/>
    </xf>
    <xf numFmtId="0" fontId="1" fillId="0" borderId="19" xfId="0" applyFont="1" applyBorder="1" applyAlignment="1">
      <alignment horizontal="center"/>
    </xf>
    <xf numFmtId="3" fontId="1" fillId="0" borderId="19" xfId="0" applyNumberFormat="1" applyFont="1" applyBorder="1" applyAlignment="1">
      <alignment/>
    </xf>
    <xf numFmtId="3" fontId="1" fillId="0" borderId="11" xfId="0" applyNumberFormat="1" applyFont="1" applyBorder="1" applyAlignment="1">
      <alignment/>
    </xf>
    <xf numFmtId="0" fontId="0" fillId="0" borderId="0" xfId="0" applyFont="1" applyAlignment="1">
      <alignment/>
    </xf>
    <xf numFmtId="0" fontId="1" fillId="0" borderId="0" xfId="0" applyFont="1" applyAlignment="1">
      <alignment/>
    </xf>
    <xf numFmtId="0" fontId="1" fillId="0" borderId="27" xfId="0" applyFont="1" applyBorder="1" applyAlignment="1">
      <alignment horizontal="right"/>
    </xf>
    <xf numFmtId="3" fontId="6" fillId="0" borderId="24" xfId="0" applyNumberFormat="1" applyFont="1" applyBorder="1" applyAlignment="1">
      <alignment/>
    </xf>
    <xf numFmtId="3" fontId="6" fillId="0" borderId="28" xfId="0" applyNumberFormat="1" applyFont="1" applyBorder="1" applyAlignment="1">
      <alignment/>
    </xf>
    <xf numFmtId="0" fontId="1" fillId="0" borderId="19" xfId="0" applyFont="1" applyBorder="1" applyAlignment="1">
      <alignment/>
    </xf>
    <xf numFmtId="3" fontId="34" fillId="0" borderId="11" xfId="0" applyNumberFormat="1" applyFont="1" applyBorder="1" applyAlignment="1">
      <alignment/>
    </xf>
    <xf numFmtId="3" fontId="24" fillId="0" borderId="14" xfId="0" applyNumberFormat="1" applyFont="1" applyBorder="1" applyAlignment="1">
      <alignment/>
    </xf>
    <xf numFmtId="0" fontId="0" fillId="0" borderId="0" xfId="0" applyFont="1" applyBorder="1" applyAlignment="1">
      <alignment horizontal="right"/>
    </xf>
    <xf numFmtId="3" fontId="24" fillId="0" borderId="21" xfId="0" applyNumberFormat="1" applyFont="1" applyBorder="1" applyAlignment="1">
      <alignment/>
    </xf>
    <xf numFmtId="0" fontId="1" fillId="0" borderId="15" xfId="0" applyFont="1" applyBorder="1" applyAlignment="1">
      <alignment horizontal="center"/>
    </xf>
    <xf numFmtId="0" fontId="0" fillId="0" borderId="27" xfId="0" applyFont="1" applyBorder="1" applyAlignment="1">
      <alignment/>
    </xf>
    <xf numFmtId="0" fontId="0" fillId="0" borderId="24" xfId="0" applyFont="1" applyBorder="1" applyAlignment="1">
      <alignment/>
    </xf>
    <xf numFmtId="0" fontId="0" fillId="0" borderId="28" xfId="0" applyFont="1" applyBorder="1" applyAlignment="1">
      <alignment/>
    </xf>
    <xf numFmtId="3" fontId="0" fillId="0" borderId="27" xfId="0" applyNumberFormat="1" applyFont="1" applyBorder="1" applyAlignment="1">
      <alignment/>
    </xf>
    <xf numFmtId="3" fontId="1" fillId="0" borderId="32" xfId="0" applyNumberFormat="1" applyFont="1" applyBorder="1" applyAlignment="1">
      <alignment horizontal="center"/>
    </xf>
    <xf numFmtId="3" fontId="0" fillId="0" borderId="37" xfId="0" applyNumberFormat="1" applyFont="1" applyBorder="1" applyAlignment="1">
      <alignment/>
    </xf>
    <xf numFmtId="3" fontId="7" fillId="0" borderId="37" xfId="0" applyNumberFormat="1" applyFont="1" applyBorder="1" applyAlignment="1">
      <alignment/>
    </xf>
    <xf numFmtId="3" fontId="6" fillId="0" borderId="0" xfId="0" applyNumberFormat="1" applyFont="1" applyBorder="1" applyAlignment="1">
      <alignment/>
    </xf>
    <xf numFmtId="0" fontId="36" fillId="0" borderId="14" xfId="0" applyFont="1" applyBorder="1" applyAlignment="1">
      <alignment horizontal="left"/>
    </xf>
    <xf numFmtId="0" fontId="7" fillId="0" borderId="0" xfId="0" applyFont="1" applyBorder="1" applyAlignment="1">
      <alignment horizontal="centerContinuous"/>
    </xf>
    <xf numFmtId="3" fontId="6" fillId="0" borderId="11" xfId="0" applyNumberFormat="1" applyFont="1" applyBorder="1" applyAlignment="1">
      <alignment horizontal="right"/>
    </xf>
    <xf numFmtId="3" fontId="9" fillId="0" borderId="11" xfId="0" applyNumberFormat="1" applyFont="1" applyBorder="1" applyAlignment="1">
      <alignment horizontal="right"/>
    </xf>
    <xf numFmtId="3" fontId="0" fillId="0" borderId="14" xfId="0" applyNumberFormat="1" applyFont="1" applyBorder="1" applyAlignment="1">
      <alignment/>
    </xf>
    <xf numFmtId="0" fontId="0" fillId="0" borderId="21" xfId="0" applyFont="1" applyBorder="1" applyAlignment="1">
      <alignment/>
    </xf>
    <xf numFmtId="0" fontId="0" fillId="0" borderId="14" xfId="0" applyFont="1" applyBorder="1" applyAlignment="1">
      <alignment/>
    </xf>
    <xf numFmtId="0" fontId="24" fillId="0" borderId="21" xfId="0" applyFont="1" applyBorder="1" applyAlignment="1">
      <alignment/>
    </xf>
    <xf numFmtId="0" fontId="24" fillId="0" borderId="14" xfId="0" applyFont="1" applyBorder="1" applyAlignment="1">
      <alignment/>
    </xf>
    <xf numFmtId="0" fontId="24" fillId="0" borderId="20" xfId="0" applyFont="1" applyBorder="1" applyAlignment="1">
      <alignment/>
    </xf>
    <xf numFmtId="3" fontId="38" fillId="0" borderId="14" xfId="0" applyNumberFormat="1" applyFont="1" applyBorder="1" applyAlignment="1">
      <alignment/>
    </xf>
    <xf numFmtId="0" fontId="38" fillId="0" borderId="21" xfId="0" applyFont="1" applyBorder="1" applyAlignment="1">
      <alignment/>
    </xf>
    <xf numFmtId="3" fontId="38" fillId="0" borderId="21" xfId="0" applyNumberFormat="1" applyFont="1" applyBorder="1" applyAlignment="1">
      <alignment/>
    </xf>
    <xf numFmtId="3" fontId="24" fillId="0" borderId="15" xfId="0" applyNumberFormat="1" applyFont="1" applyBorder="1" applyAlignment="1">
      <alignment/>
    </xf>
    <xf numFmtId="0" fontId="24" fillId="0" borderId="22" xfId="0" applyFont="1" applyBorder="1" applyAlignment="1">
      <alignment/>
    </xf>
    <xf numFmtId="0" fontId="24" fillId="0" borderId="28" xfId="0" applyFont="1" applyBorder="1" applyAlignment="1">
      <alignment/>
    </xf>
    <xf numFmtId="3" fontId="38" fillId="0" borderId="19" xfId="0" applyNumberFormat="1" applyFont="1" applyBorder="1" applyAlignment="1">
      <alignment/>
    </xf>
    <xf numFmtId="0" fontId="38" fillId="0" borderId="20" xfId="0" applyFont="1" applyBorder="1" applyAlignment="1">
      <alignment/>
    </xf>
    <xf numFmtId="3" fontId="38" fillId="0" borderId="15" xfId="0" applyNumberFormat="1" applyFont="1" applyBorder="1" applyAlignment="1">
      <alignment/>
    </xf>
    <xf numFmtId="3" fontId="24" fillId="0" borderId="19" xfId="0" applyNumberFormat="1" applyFont="1" applyBorder="1" applyAlignment="1">
      <alignment/>
    </xf>
    <xf numFmtId="0" fontId="38" fillId="0" borderId="10" xfId="0" applyFont="1" applyBorder="1" applyAlignment="1">
      <alignment horizontal="center"/>
    </xf>
    <xf numFmtId="3" fontId="24" fillId="0" borderId="32" xfId="0" applyNumberFormat="1" applyFont="1" applyBorder="1" applyAlignment="1">
      <alignment/>
    </xf>
    <xf numFmtId="3" fontId="24" fillId="0" borderId="13" xfId="0" applyNumberFormat="1" applyFont="1" applyBorder="1" applyAlignment="1">
      <alignment/>
    </xf>
    <xf numFmtId="3" fontId="32" fillId="0" borderId="0" xfId="0" applyNumberFormat="1" applyFont="1" applyAlignment="1">
      <alignment/>
    </xf>
    <xf numFmtId="3" fontId="3" fillId="0" borderId="14" xfId="0" applyNumberFormat="1" applyFont="1" applyBorder="1" applyAlignment="1">
      <alignment/>
    </xf>
    <xf numFmtId="3" fontId="3" fillId="0" borderId="21" xfId="0" applyNumberFormat="1" applyFont="1" applyBorder="1" applyAlignment="1">
      <alignment/>
    </xf>
    <xf numFmtId="0" fontId="0" fillId="0" borderId="0" xfId="0" applyFont="1" applyAlignment="1">
      <alignment/>
    </xf>
    <xf numFmtId="3" fontId="0" fillId="0" borderId="0" xfId="0" applyNumberFormat="1" applyFont="1" applyAlignment="1">
      <alignment/>
    </xf>
    <xf numFmtId="0" fontId="24" fillId="0" borderId="0" xfId="0" applyFont="1" applyBorder="1" applyAlignment="1">
      <alignment/>
    </xf>
    <xf numFmtId="0" fontId="38" fillId="0" borderId="14" xfId="0" applyFont="1" applyBorder="1" applyAlignment="1" quotePrefix="1">
      <alignment horizontal="center"/>
    </xf>
    <xf numFmtId="0" fontId="38" fillId="0" borderId="11" xfId="0" applyFont="1" applyBorder="1" applyAlignment="1">
      <alignment/>
    </xf>
    <xf numFmtId="3" fontId="38" fillId="0" borderId="14" xfId="0" applyNumberFormat="1" applyFont="1" applyBorder="1" applyAlignment="1">
      <alignment horizontal="right"/>
    </xf>
    <xf numFmtId="4" fontId="24" fillId="0" borderId="21" xfId="0" applyNumberFormat="1" applyFont="1" applyBorder="1" applyAlignment="1">
      <alignment/>
    </xf>
    <xf numFmtId="4" fontId="38" fillId="0" borderId="14" xfId="0" applyNumberFormat="1" applyFont="1" applyBorder="1" applyAlignment="1">
      <alignment horizontal="right"/>
    </xf>
    <xf numFmtId="0" fontId="24" fillId="0" borderId="14" xfId="0" applyFont="1" applyBorder="1" applyAlignment="1" quotePrefix="1">
      <alignment horizontal="center"/>
    </xf>
    <xf numFmtId="4" fontId="24" fillId="0" borderId="14" xfId="0" applyNumberFormat="1" applyFont="1" applyBorder="1" applyAlignment="1">
      <alignment horizontal="right"/>
    </xf>
    <xf numFmtId="4" fontId="38" fillId="0" borderId="14" xfId="0" applyNumberFormat="1" applyFont="1" applyBorder="1" applyAlignment="1">
      <alignment/>
    </xf>
    <xf numFmtId="0" fontId="24" fillId="0" borderId="15" xfId="0" applyFont="1" applyBorder="1" applyAlignment="1">
      <alignment/>
    </xf>
    <xf numFmtId="0" fontId="24" fillId="0" borderId="13" xfId="0" applyFont="1" applyBorder="1" applyAlignment="1">
      <alignment/>
    </xf>
    <xf numFmtId="3" fontId="3" fillId="0" borderId="0" xfId="0" applyNumberFormat="1" applyFont="1" applyBorder="1" applyAlignment="1">
      <alignment/>
    </xf>
    <xf numFmtId="0" fontId="0" fillId="0" borderId="36" xfId="0" applyFont="1" applyBorder="1" applyAlignment="1">
      <alignment/>
    </xf>
    <xf numFmtId="3" fontId="16" fillId="0" borderId="36" xfId="0" applyNumberFormat="1" applyFont="1" applyBorder="1" applyAlignment="1">
      <alignment/>
    </xf>
    <xf numFmtId="3" fontId="0" fillId="0" borderId="34" xfId="0" applyNumberFormat="1" applyFont="1" applyBorder="1" applyAlignment="1">
      <alignment horizontal="center"/>
    </xf>
    <xf numFmtId="3" fontId="0" fillId="0" borderId="35" xfId="0" applyNumberFormat="1" applyFont="1" applyBorder="1" applyAlignment="1">
      <alignment horizontal="center"/>
    </xf>
    <xf numFmtId="3" fontId="0" fillId="0" borderId="13" xfId="0" applyNumberFormat="1" applyFont="1" applyBorder="1" applyAlignment="1">
      <alignment horizontal="center"/>
    </xf>
    <xf numFmtId="3" fontId="16" fillId="0" borderId="11" xfId="0" applyNumberFormat="1" applyFont="1" applyBorder="1" applyAlignment="1">
      <alignment/>
    </xf>
    <xf numFmtId="37" fontId="6" fillId="0" borderId="11" xfId="0" applyNumberFormat="1" applyFont="1" applyBorder="1" applyAlignment="1">
      <alignment/>
    </xf>
    <xf numFmtId="38" fontId="16" fillId="0" borderId="11" xfId="0" applyNumberFormat="1" applyFont="1" applyBorder="1" applyAlignment="1">
      <alignment/>
    </xf>
    <xf numFmtId="3" fontId="0" fillId="0" borderId="28" xfId="0" applyNumberFormat="1" applyFont="1" applyBorder="1" applyAlignment="1">
      <alignment/>
    </xf>
    <xf numFmtId="3" fontId="24" fillId="0" borderId="27" xfId="0" applyNumberFormat="1" applyFont="1" applyBorder="1" applyAlignment="1">
      <alignment/>
    </xf>
    <xf numFmtId="0" fontId="1" fillId="0" borderId="23" xfId="0" applyFont="1" applyBorder="1" applyAlignment="1">
      <alignment horizontal="center"/>
    </xf>
    <xf numFmtId="0" fontId="1" fillId="0" borderId="29" xfId="0" applyFont="1" applyBorder="1" applyAlignment="1">
      <alignment horizontal="center"/>
    </xf>
    <xf numFmtId="3" fontId="0" fillId="0" borderId="38" xfId="0" applyNumberFormat="1" applyFont="1" applyBorder="1" applyAlignment="1">
      <alignment/>
    </xf>
    <xf numFmtId="3" fontId="0" fillId="0" borderId="39" xfId="0" applyNumberFormat="1" applyFont="1" applyBorder="1" applyAlignment="1">
      <alignment/>
    </xf>
    <xf numFmtId="3" fontId="0" fillId="0" borderId="40" xfId="0" applyNumberFormat="1" applyFont="1" applyBorder="1" applyAlignment="1">
      <alignment/>
    </xf>
    <xf numFmtId="3" fontId="9" fillId="0" borderId="0" xfId="0" applyNumberFormat="1" applyFont="1" applyBorder="1" applyAlignment="1">
      <alignment/>
    </xf>
    <xf numFmtId="0" fontId="16" fillId="0" borderId="0" xfId="0" applyFont="1" applyBorder="1" applyAlignment="1">
      <alignment horizontal="center"/>
    </xf>
    <xf numFmtId="3" fontId="0" fillId="0" borderId="20" xfId="0" applyNumberFormat="1" applyFont="1" applyBorder="1" applyAlignment="1">
      <alignment/>
    </xf>
    <xf numFmtId="3" fontId="16" fillId="0" borderId="17" xfId="0" applyNumberFormat="1" applyFont="1" applyBorder="1" applyAlignment="1">
      <alignment/>
    </xf>
    <xf numFmtId="0" fontId="1" fillId="0" borderId="20" xfId="0" applyFont="1" applyBorder="1" applyAlignment="1">
      <alignment/>
    </xf>
    <xf numFmtId="0" fontId="7" fillId="0" borderId="22" xfId="0" applyFont="1" applyBorder="1" applyAlignment="1">
      <alignment/>
    </xf>
    <xf numFmtId="170" fontId="0" fillId="0" borderId="0" xfId="0" applyNumberFormat="1" applyFont="1" applyAlignment="1">
      <alignment/>
    </xf>
    <xf numFmtId="3" fontId="0" fillId="0" borderId="0" xfId="0" applyNumberFormat="1" applyFont="1" applyAlignment="1">
      <alignment horizontal="right"/>
    </xf>
    <xf numFmtId="3" fontId="39"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0" fontId="10" fillId="0" borderId="0" xfId="0" applyFont="1" applyAlignment="1">
      <alignment horizontal="centerContinuous"/>
    </xf>
    <xf numFmtId="0" fontId="0" fillId="0" borderId="0" xfId="0" applyFont="1" applyAlignment="1">
      <alignment horizontal="centerContinuous"/>
    </xf>
    <xf numFmtId="170" fontId="0" fillId="0" borderId="0" xfId="0" applyNumberFormat="1" applyFont="1" applyAlignment="1">
      <alignment horizontal="centerContinuous"/>
    </xf>
    <xf numFmtId="3" fontId="0" fillId="0" borderId="0" xfId="0" applyNumberFormat="1" applyFont="1" applyAlignment="1">
      <alignment horizontal="centerContinuous"/>
    </xf>
    <xf numFmtId="3" fontId="40" fillId="0" borderId="37" xfId="0" applyNumberFormat="1" applyFont="1" applyBorder="1" applyAlignment="1">
      <alignment horizontal="center"/>
    </xf>
    <xf numFmtId="3" fontId="40" fillId="0" borderId="0" xfId="0" applyNumberFormat="1" applyFont="1" applyBorder="1" applyAlignment="1">
      <alignment horizontal="center"/>
    </xf>
    <xf numFmtId="0" fontId="0" fillId="0" borderId="0" xfId="0" applyFont="1" applyAlignment="1">
      <alignment/>
    </xf>
    <xf numFmtId="3" fontId="1" fillId="0" borderId="16" xfId="0" applyNumberFormat="1" applyFont="1" applyBorder="1" applyAlignment="1">
      <alignment horizontal="center"/>
    </xf>
    <xf numFmtId="3" fontId="1" fillId="0" borderId="23" xfId="0" applyNumberFormat="1" applyFont="1" applyBorder="1" applyAlignment="1">
      <alignment horizontal="center"/>
    </xf>
    <xf numFmtId="3" fontId="41" fillId="0" borderId="16" xfId="0" applyNumberFormat="1" applyFont="1" applyBorder="1" applyAlignment="1">
      <alignment horizontal="center"/>
    </xf>
    <xf numFmtId="3" fontId="41" fillId="0" borderId="18" xfId="0" applyNumberFormat="1" applyFont="1" applyBorder="1" applyAlignment="1">
      <alignment horizontal="center"/>
    </xf>
    <xf numFmtId="3" fontId="1" fillId="0" borderId="24" xfId="0" applyNumberFormat="1" applyFont="1" applyBorder="1" applyAlignment="1">
      <alignment horizontal="center"/>
    </xf>
    <xf numFmtId="3" fontId="42" fillId="0" borderId="24" xfId="0" applyNumberFormat="1" applyFont="1" applyBorder="1" applyAlignment="1">
      <alignment horizontal="center"/>
    </xf>
    <xf numFmtId="3" fontId="1" fillId="0" borderId="29" xfId="0" applyNumberFormat="1" applyFont="1" applyBorder="1" applyAlignment="1">
      <alignment horizontal="center"/>
    </xf>
    <xf numFmtId="3" fontId="42" fillId="0" borderId="29" xfId="0" applyNumberFormat="1" applyFont="1" applyBorder="1" applyAlignment="1">
      <alignment horizontal="center"/>
    </xf>
    <xf numFmtId="3" fontId="41" fillId="0" borderId="10" xfId="0" applyNumberFormat="1" applyFont="1" applyBorder="1" applyAlignment="1">
      <alignment horizontal="center"/>
    </xf>
    <xf numFmtId="170" fontId="1" fillId="0" borderId="12" xfId="0" applyNumberFormat="1" applyFont="1" applyBorder="1" applyAlignment="1">
      <alignment/>
    </xf>
    <xf numFmtId="3" fontId="1" fillId="0" borderId="12" xfId="0" applyNumberFormat="1" applyFont="1" applyBorder="1" applyAlignment="1">
      <alignment/>
    </xf>
    <xf numFmtId="170" fontId="1" fillId="0" borderId="11" xfId="0" applyNumberFormat="1" applyFont="1" applyBorder="1" applyAlignment="1">
      <alignment horizontal="right"/>
    </xf>
    <xf numFmtId="3" fontId="1" fillId="0" borderId="11" xfId="0" applyNumberFormat="1" applyFont="1" applyBorder="1" applyAlignment="1">
      <alignment horizontal="right"/>
    </xf>
    <xf numFmtId="0" fontId="2" fillId="0" borderId="11" xfId="0" applyFont="1" applyBorder="1" applyAlignment="1">
      <alignment horizontal="center"/>
    </xf>
    <xf numFmtId="0" fontId="2" fillId="0" borderId="11" xfId="0" applyFont="1" applyBorder="1" applyAlignment="1">
      <alignment/>
    </xf>
    <xf numFmtId="170" fontId="2" fillId="0" borderId="11" xfId="0" applyNumberFormat="1" applyFont="1" applyBorder="1" applyAlignment="1">
      <alignment/>
    </xf>
    <xf numFmtId="3" fontId="2" fillId="0" borderId="0" xfId="0" applyNumberFormat="1" applyFont="1" applyAlignment="1">
      <alignment/>
    </xf>
    <xf numFmtId="170" fontId="3" fillId="0" borderId="11" xfId="0" applyNumberFormat="1" applyFont="1" applyBorder="1" applyAlignment="1">
      <alignment/>
    </xf>
    <xf numFmtId="170" fontId="0" fillId="0" borderId="13" xfId="0" applyNumberFormat="1" applyFont="1" applyBorder="1" applyAlignment="1">
      <alignment/>
    </xf>
    <xf numFmtId="170" fontId="0" fillId="0" borderId="0" xfId="0" applyNumberFormat="1" applyFont="1" applyBorder="1" applyAlignment="1">
      <alignment/>
    </xf>
    <xf numFmtId="170" fontId="1" fillId="0" borderId="0" xfId="0" applyNumberFormat="1" applyFont="1" applyAlignment="1">
      <alignment horizontal="center"/>
    </xf>
    <xf numFmtId="3" fontId="3" fillId="0" borderId="0" xfId="0" applyNumberFormat="1" applyFont="1" applyAlignment="1">
      <alignment/>
    </xf>
    <xf numFmtId="170" fontId="0" fillId="0" borderId="0" xfId="0" applyNumberFormat="1" applyFont="1" applyAlignment="1">
      <alignment/>
    </xf>
    <xf numFmtId="3" fontId="3" fillId="0" borderId="0" xfId="0" applyNumberFormat="1" applyFont="1" applyAlignment="1" quotePrefix="1">
      <alignment horizontal="center"/>
    </xf>
    <xf numFmtId="3" fontId="3" fillId="0" borderId="0" xfId="0" applyNumberFormat="1" applyFont="1" applyAlignment="1" quotePrefix="1">
      <alignment/>
    </xf>
    <xf numFmtId="0" fontId="43" fillId="0" borderId="0" xfId="0" applyFont="1" applyAlignment="1">
      <alignment/>
    </xf>
    <xf numFmtId="0" fontId="44" fillId="0" borderId="0" xfId="0" applyFont="1" applyAlignment="1">
      <alignment horizontal="center"/>
    </xf>
    <xf numFmtId="3" fontId="44" fillId="0" borderId="0" xfId="0" applyNumberFormat="1" applyFont="1" applyAlignment="1">
      <alignment horizontal="center"/>
    </xf>
    <xf numFmtId="3" fontId="0" fillId="0" borderId="0" xfId="0" applyNumberFormat="1" applyFont="1" applyAlignment="1">
      <alignment/>
    </xf>
    <xf numFmtId="3" fontId="0" fillId="0" borderId="0" xfId="0" applyNumberFormat="1" applyFont="1" applyAlignment="1" quotePrefix="1">
      <alignment/>
    </xf>
    <xf numFmtId="0" fontId="0" fillId="0" borderId="0" xfId="0" applyFont="1" applyAlignment="1">
      <alignment/>
    </xf>
    <xf numFmtId="0" fontId="0" fillId="0" borderId="0" xfId="0" applyFont="1" applyBorder="1" applyAlignment="1">
      <alignment horizontal="center"/>
    </xf>
    <xf numFmtId="170" fontId="0" fillId="0" borderId="0" xfId="0" applyNumberFormat="1" applyFont="1" applyAlignment="1">
      <alignment/>
    </xf>
    <xf numFmtId="3" fontId="9" fillId="0" borderId="0" xfId="0" applyNumberFormat="1" applyFont="1" applyBorder="1" applyAlignment="1">
      <alignment horizontal="right"/>
    </xf>
    <xf numFmtId="3" fontId="6" fillId="0" borderId="0" xfId="0" applyNumberFormat="1" applyFont="1" applyBorder="1" applyAlignment="1">
      <alignment horizontal="right"/>
    </xf>
    <xf numFmtId="3" fontId="11" fillId="0" borderId="14" xfId="0" applyNumberFormat="1" applyFont="1" applyBorder="1" applyAlignment="1">
      <alignment/>
    </xf>
    <xf numFmtId="0" fontId="11" fillId="0" borderId="21" xfId="0" applyFont="1" applyBorder="1" applyAlignment="1">
      <alignment/>
    </xf>
    <xf numFmtId="0" fontId="0" fillId="0" borderId="19" xfId="0" applyFont="1" applyBorder="1" applyAlignment="1">
      <alignment horizontal="center"/>
    </xf>
    <xf numFmtId="0" fontId="1" fillId="0" borderId="11" xfId="0" applyFont="1" applyBorder="1" applyAlignment="1">
      <alignment horizontal="right"/>
    </xf>
    <xf numFmtId="0" fontId="16" fillId="0" borderId="0" xfId="0" applyFont="1" applyAlignment="1">
      <alignment horizontal="center"/>
    </xf>
    <xf numFmtId="38" fontId="16" fillId="0" borderId="0" xfId="0" applyNumberFormat="1" applyFont="1" applyBorder="1" applyAlignment="1">
      <alignment/>
    </xf>
    <xf numFmtId="3" fontId="3" fillId="0" borderId="11" xfId="0" applyNumberFormat="1" applyFont="1" applyBorder="1" applyAlignment="1">
      <alignment horizontal="right"/>
    </xf>
    <xf numFmtId="3" fontId="0" fillId="0" borderId="0" xfId="0" applyNumberFormat="1" applyFont="1" applyAlignment="1">
      <alignment horizontal="centerContinuous"/>
    </xf>
    <xf numFmtId="3" fontId="0" fillId="0" borderId="0" xfId="0" applyNumberFormat="1" applyFont="1" applyAlignment="1">
      <alignment horizontal="centerContinuous"/>
    </xf>
    <xf numFmtId="170" fontId="3" fillId="0" borderId="11" xfId="0" applyNumberFormat="1" applyFont="1" applyBorder="1" applyAlignment="1">
      <alignment horizontal="right"/>
    </xf>
    <xf numFmtId="170" fontId="0" fillId="0" borderId="11" xfId="0" applyNumberFormat="1" applyFont="1" applyBorder="1" applyAlignment="1">
      <alignment horizontal="right"/>
    </xf>
    <xf numFmtId="3" fontId="0" fillId="0" borderId="11" xfId="0" applyNumberFormat="1" applyFont="1" applyBorder="1" applyAlignment="1">
      <alignment horizontal="right"/>
    </xf>
    <xf numFmtId="3" fontId="6" fillId="0" borderId="15" xfId="0" applyNumberFormat="1" applyFont="1" applyBorder="1" applyAlignment="1">
      <alignment/>
    </xf>
    <xf numFmtId="0" fontId="0" fillId="0" borderId="15" xfId="0" applyFont="1" applyBorder="1" applyAlignment="1">
      <alignment horizontal="center"/>
    </xf>
    <xf numFmtId="38" fontId="7" fillId="0" borderId="11" xfId="0" applyNumberFormat="1" applyFont="1" applyBorder="1" applyAlignment="1">
      <alignment/>
    </xf>
    <xf numFmtId="0" fontId="7" fillId="0" borderId="32" xfId="0" applyFont="1" applyBorder="1" applyAlignment="1">
      <alignment/>
    </xf>
    <xf numFmtId="0" fontId="21" fillId="0" borderId="10" xfId="0" applyFont="1" applyBorder="1" applyAlignment="1">
      <alignment horizontal="center" vertical="center"/>
    </xf>
    <xf numFmtId="38" fontId="6" fillId="0" borderId="11" xfId="0" applyNumberFormat="1" applyFont="1" applyBorder="1" applyAlignment="1">
      <alignment/>
    </xf>
    <xf numFmtId="0" fontId="14" fillId="0" borderId="0" xfId="0" applyFont="1" applyAlignment="1">
      <alignment horizontal="center"/>
    </xf>
    <xf numFmtId="3" fontId="1" fillId="0" borderId="23" xfId="0" applyNumberFormat="1" applyFont="1" applyBorder="1" applyAlignment="1">
      <alignment horizontal="center" vertical="center"/>
    </xf>
    <xf numFmtId="3" fontId="1" fillId="0" borderId="29" xfId="0" applyNumberFormat="1" applyFont="1" applyBorder="1" applyAlignment="1">
      <alignment horizontal="center" vertical="center"/>
    </xf>
    <xf numFmtId="3" fontId="40" fillId="0" borderId="37" xfId="0" applyNumberFormat="1" applyFont="1" applyBorder="1" applyAlignment="1">
      <alignment horizontal="center"/>
    </xf>
    <xf numFmtId="3" fontId="41" fillId="0" borderId="16" xfId="0" applyNumberFormat="1" applyFont="1" applyBorder="1" applyAlignment="1">
      <alignment horizontal="center"/>
    </xf>
    <xf numFmtId="3" fontId="41" fillId="0" borderId="18" xfId="0" applyNumberFormat="1" applyFont="1" applyBorder="1" applyAlignment="1">
      <alignment horizont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0" fillId="0" borderId="29" xfId="0" applyFont="1" applyBorder="1" applyAlignment="1">
      <alignment vertical="center"/>
    </xf>
    <xf numFmtId="3" fontId="1" fillId="0" borderId="16" xfId="0" applyNumberFormat="1" applyFont="1" applyBorder="1" applyAlignment="1">
      <alignment horizontal="center"/>
    </xf>
    <xf numFmtId="3" fontId="1" fillId="0" borderId="17" xfId="0" applyNumberFormat="1" applyFont="1" applyBorder="1" applyAlignment="1">
      <alignment horizontal="center"/>
    </xf>
    <xf numFmtId="3" fontId="1" fillId="0" borderId="18" xfId="0" applyNumberFormat="1" applyFont="1" applyBorder="1" applyAlignment="1">
      <alignment horizontal="center"/>
    </xf>
    <xf numFmtId="0" fontId="19" fillId="0" borderId="37" xfId="0" applyFont="1" applyBorder="1" applyAlignment="1">
      <alignment horizontal="center"/>
    </xf>
    <xf numFmtId="0" fontId="15" fillId="0" borderId="0" xfId="0" applyFont="1" applyAlignment="1">
      <alignment horizontal="center"/>
    </xf>
    <xf numFmtId="0" fontId="33" fillId="0" borderId="0" xfId="0" applyFont="1" applyAlignment="1">
      <alignment horizontal="center"/>
    </xf>
    <xf numFmtId="0" fontId="1" fillId="0" borderId="0" xfId="0" applyFont="1" applyAlignment="1">
      <alignment horizontal="center"/>
    </xf>
    <xf numFmtId="0" fontId="38" fillId="0" borderId="16" xfId="0" applyFont="1" applyBorder="1" applyAlignment="1">
      <alignment horizontal="center"/>
    </xf>
    <xf numFmtId="0" fontId="38" fillId="0" borderId="18" xfId="0" applyFont="1" applyBorder="1" applyAlignment="1">
      <alignment horizontal="center"/>
    </xf>
    <xf numFmtId="0" fontId="0" fillId="0" borderId="29" xfId="0" applyBorder="1" applyAlignment="1">
      <alignment horizontal="center" vertical="center"/>
    </xf>
    <xf numFmtId="0" fontId="1" fillId="0" borderId="16" xfId="0" applyFont="1" applyBorder="1" applyAlignment="1">
      <alignment horizontal="center"/>
    </xf>
    <xf numFmtId="0" fontId="1" fillId="0" borderId="18" xfId="0" applyFont="1" applyBorder="1" applyAlignment="1">
      <alignment horizontal="center"/>
    </xf>
    <xf numFmtId="0" fontId="27" fillId="0" borderId="37" xfId="0" applyFont="1" applyBorder="1" applyAlignment="1">
      <alignment horizont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0" fillId="0" borderId="11" xfId="0" applyFont="1" applyBorder="1" applyAlignment="1">
      <alignment horizontal="center" vertical="center"/>
    </xf>
    <xf numFmtId="3" fontId="0" fillId="0" borderId="16" xfId="0" applyNumberFormat="1" applyFont="1" applyBorder="1" applyAlignment="1">
      <alignment horizontal="center"/>
    </xf>
    <xf numFmtId="3" fontId="0" fillId="0" borderId="17" xfId="0" applyNumberFormat="1" applyFont="1" applyBorder="1" applyAlignment="1">
      <alignment horizontal="center"/>
    </xf>
    <xf numFmtId="3" fontId="0" fillId="0" borderId="18" xfId="0" applyNumberFormat="1" applyFont="1" applyBorder="1" applyAlignment="1">
      <alignment horizont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Alignment="1">
      <alignment horizontal="center"/>
    </xf>
    <xf numFmtId="0" fontId="0" fillId="0" borderId="0" xfId="0" applyFont="1" applyAlignment="1">
      <alignment horizontal="center"/>
    </xf>
    <xf numFmtId="0" fontId="35" fillId="0" borderId="0" xfId="0" applyFont="1" applyAlignment="1">
      <alignment horizontal="center"/>
    </xf>
    <xf numFmtId="3" fontId="0" fillId="0" borderId="23" xfId="0" applyNumberFormat="1" applyFont="1" applyBorder="1" applyAlignment="1">
      <alignment horizontal="center" vertical="center"/>
    </xf>
    <xf numFmtId="3" fontId="1" fillId="0" borderId="0" xfId="0" applyNumberFormat="1" applyFont="1" applyAlignment="1">
      <alignment horizontal="center"/>
    </xf>
    <xf numFmtId="3" fontId="0" fillId="0" borderId="0" xfId="0" applyNumberFormat="1" applyFont="1" applyAlignment="1">
      <alignment horizontal="center"/>
    </xf>
    <xf numFmtId="0" fontId="10" fillId="0" borderId="0"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21" fillId="0" borderId="0" xfId="0" applyFont="1" applyBorder="1" applyAlignment="1">
      <alignment horizontal="center"/>
    </xf>
    <xf numFmtId="0" fontId="7" fillId="0" borderId="14" xfId="0" applyFont="1" applyBorder="1" applyAlignment="1" quotePrefix="1">
      <alignment horizontal="center"/>
    </xf>
    <xf numFmtId="0" fontId="7" fillId="0" borderId="21" xfId="0" applyFont="1" applyBorder="1" applyAlignment="1" quotePrefix="1">
      <alignment horizontal="center"/>
    </xf>
    <xf numFmtId="0" fontId="7" fillId="0" borderId="15" xfId="0" applyFont="1" applyBorder="1" applyAlignment="1">
      <alignment horizontal="center"/>
    </xf>
    <xf numFmtId="0" fontId="7" fillId="0" borderId="22" xfId="0" applyFont="1" applyBorder="1" applyAlignment="1">
      <alignment horizontal="center"/>
    </xf>
    <xf numFmtId="4" fontId="7" fillId="0" borderId="14" xfId="0" applyNumberFormat="1" applyFont="1" applyBorder="1" applyAlignment="1" quotePrefix="1">
      <alignment horizontal="center"/>
    </xf>
    <xf numFmtId="0" fontId="26" fillId="0" borderId="37" xfId="0" applyFont="1" applyBorder="1" applyAlignment="1">
      <alignment horizontal="center"/>
    </xf>
    <xf numFmtId="0" fontId="2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7"/>
  <sheetViews>
    <sheetView zoomScalePageLayoutView="0" workbookViewId="0" topLeftCell="A1">
      <selection activeCell="D20" sqref="D20"/>
    </sheetView>
  </sheetViews>
  <sheetFormatPr defaultColWidth="8.796875" defaultRowHeight="15"/>
  <cols>
    <col min="1" max="1" width="34" style="103" customWidth="1"/>
    <col min="2" max="2" width="16.3984375" style="12" customWidth="1"/>
    <col min="3" max="3" width="2.19921875" style="12" customWidth="1"/>
    <col min="4" max="4" width="16.69921875" style="12" customWidth="1"/>
    <col min="5" max="5" width="2.3984375" style="12" customWidth="1"/>
    <col min="6" max="6" width="16.8984375" style="12" customWidth="1"/>
    <col min="7" max="7" width="2.3984375" style="12" customWidth="1"/>
    <col min="8" max="8" width="16.69921875" style="12" customWidth="1"/>
    <col min="9" max="9" width="2.19921875" style="103" customWidth="1"/>
    <col min="10" max="16384" width="9" style="103" customWidth="1"/>
  </cols>
  <sheetData>
    <row r="1" spans="1:9" s="112" customFormat="1" ht="22.5">
      <c r="A1" s="376" t="s">
        <v>1164</v>
      </c>
      <c r="B1" s="376"/>
      <c r="C1" s="376"/>
      <c r="D1" s="376"/>
      <c r="E1" s="376"/>
      <c r="F1" s="376"/>
      <c r="G1" s="376"/>
      <c r="H1" s="376"/>
      <c r="I1" s="376"/>
    </row>
    <row r="2" spans="1:9" s="11" customFormat="1" ht="22.5">
      <c r="A2" s="376"/>
      <c r="B2" s="376"/>
      <c r="C2" s="376"/>
      <c r="D2" s="376"/>
      <c r="E2" s="376"/>
      <c r="F2" s="376"/>
      <c r="G2" s="376"/>
      <c r="H2" s="376"/>
      <c r="I2" s="376"/>
    </row>
    <row r="3" spans="1:9" s="12" customFormat="1" ht="18.75" customHeight="1">
      <c r="A3" s="113"/>
      <c r="B3" s="114" t="s">
        <v>102</v>
      </c>
      <c r="C3" s="115"/>
      <c r="D3" s="114" t="s">
        <v>103</v>
      </c>
      <c r="E3" s="115"/>
      <c r="F3" s="114" t="s">
        <v>103</v>
      </c>
      <c r="G3" s="115"/>
      <c r="H3" s="114" t="s">
        <v>102</v>
      </c>
      <c r="I3" s="115"/>
    </row>
    <row r="4" spans="1:9" s="12" customFormat="1" ht="18.75" customHeight="1">
      <c r="A4" s="105" t="s">
        <v>101</v>
      </c>
      <c r="B4" s="116" t="s">
        <v>104</v>
      </c>
      <c r="C4" s="117"/>
      <c r="D4" s="116" t="s">
        <v>105</v>
      </c>
      <c r="E4" s="117"/>
      <c r="F4" s="116" t="s">
        <v>106</v>
      </c>
      <c r="G4" s="117"/>
      <c r="H4" s="116" t="s">
        <v>107</v>
      </c>
      <c r="I4" s="117"/>
    </row>
    <row r="5" spans="1:9" s="12" customFormat="1" ht="18.75" customHeight="1">
      <c r="A5" s="118"/>
      <c r="B5" s="119" t="s">
        <v>633</v>
      </c>
      <c r="C5" s="120"/>
      <c r="D5" s="119" t="s">
        <v>634</v>
      </c>
      <c r="E5" s="120"/>
      <c r="F5" s="119" t="s">
        <v>635</v>
      </c>
      <c r="G5" s="120"/>
      <c r="H5" s="119" t="s">
        <v>633</v>
      </c>
      <c r="I5" s="120"/>
    </row>
    <row r="6" spans="1:9" s="12" customFormat="1" ht="21" customHeight="1">
      <c r="A6" s="15" t="s">
        <v>1118</v>
      </c>
      <c r="B6" s="19">
        <f>'BIEU 02-Bang CDSPS '!F162</f>
        <v>88277286</v>
      </c>
      <c r="C6" s="39"/>
      <c r="D6" s="19">
        <f>D20</f>
        <v>5687967310</v>
      </c>
      <c r="E6" s="39"/>
      <c r="F6" s="19">
        <f>'BIEU 02-Bang CDSPS '!H162-D18</f>
        <v>4503078779</v>
      </c>
      <c r="G6" s="39"/>
      <c r="H6" s="19">
        <f>B6+D6-F6</f>
        <v>1273165817</v>
      </c>
      <c r="I6" s="39"/>
    </row>
    <row r="7" spans="1:9" s="12" customFormat="1" ht="21" customHeight="1">
      <c r="A7" s="15" t="s">
        <v>452</v>
      </c>
      <c r="B7" s="19">
        <f>'BIEU 02-Bang CDSPS '!F163</f>
        <v>0</v>
      </c>
      <c r="C7" s="39"/>
      <c r="D7" s="19">
        <f>'BIEU 02-Bang CDSPS '!J163</f>
        <v>170658577</v>
      </c>
      <c r="E7" s="39"/>
      <c r="F7" s="19">
        <f>'BIEU 02-Bang CDSPS '!H163</f>
        <v>170658577</v>
      </c>
      <c r="G7" s="39"/>
      <c r="H7" s="19">
        <f aca="true" t="shared" si="0" ref="H7:H12">B7+D7-F7</f>
        <v>0</v>
      </c>
      <c r="I7" s="39"/>
    </row>
    <row r="8" spans="1:9" s="12" customFormat="1" ht="21" customHeight="1">
      <c r="A8" s="15" t="s">
        <v>139</v>
      </c>
      <c r="B8" s="19">
        <f>'BIEU 02-Bang CDSPS '!F164</f>
        <v>6359719228</v>
      </c>
      <c r="C8" s="39"/>
      <c r="D8" s="19">
        <f>'BIEU 02-Bang CDSPS '!J164</f>
        <v>18245202990</v>
      </c>
      <c r="E8" s="39"/>
      <c r="F8" s="19">
        <f>'BIEU 02-Bang CDSPS '!H164</f>
        <v>17595983779</v>
      </c>
      <c r="G8" s="39"/>
      <c r="H8" s="19">
        <f t="shared" si="0"/>
        <v>7008938439</v>
      </c>
      <c r="I8" s="39"/>
    </row>
    <row r="9" spans="1:9" s="12" customFormat="1" ht="21" customHeight="1">
      <c r="A9" s="15" t="s">
        <v>1115</v>
      </c>
      <c r="B9" s="19">
        <f>'BIEU 02-Bang CDSPS '!F165</f>
        <v>13997563125</v>
      </c>
      <c r="C9" s="39"/>
      <c r="D9" s="19">
        <f>'BIEU 02-Bang CDSPS '!J165</f>
        <v>13793232944</v>
      </c>
      <c r="E9" s="39"/>
      <c r="F9" s="19">
        <f>'BIEU 02-Bang CDSPS '!H165</f>
        <v>5000000000</v>
      </c>
      <c r="G9" s="39"/>
      <c r="H9" s="19">
        <f t="shared" si="0"/>
        <v>22790796069</v>
      </c>
      <c r="I9" s="39"/>
    </row>
    <row r="10" spans="1:9" s="12" customFormat="1" ht="21" customHeight="1" hidden="1">
      <c r="A10" s="15" t="s">
        <v>16</v>
      </c>
      <c r="B10" s="19">
        <f>'BIEU 02-Bang CDSPS '!F166</f>
        <v>0</v>
      </c>
      <c r="C10" s="39"/>
      <c r="D10" s="19">
        <f>'BIEU 02-Bang CDSPS '!J166</f>
        <v>0</v>
      </c>
      <c r="E10" s="39"/>
      <c r="F10" s="19">
        <f>'BIEU 02-Bang CDSPS '!H166</f>
        <v>0</v>
      </c>
      <c r="G10" s="39"/>
      <c r="H10" s="19">
        <f t="shared" si="0"/>
        <v>0</v>
      </c>
      <c r="I10" s="39"/>
    </row>
    <row r="11" spans="1:9" s="12" customFormat="1" ht="21" customHeight="1">
      <c r="A11" s="15" t="s">
        <v>1116</v>
      </c>
      <c r="B11" s="19">
        <f>'BIEU 02-Bang CDSPS '!F167</f>
        <v>0</v>
      </c>
      <c r="C11" s="39"/>
      <c r="D11" s="19">
        <f>'BIEU 02-Bang CDSPS '!J167</f>
        <v>8000000</v>
      </c>
      <c r="E11" s="39"/>
      <c r="F11" s="19">
        <f>'BIEU 02-Bang CDSPS '!H167</f>
        <v>8000000</v>
      </c>
      <c r="G11" s="39"/>
      <c r="H11" s="19">
        <f t="shared" si="0"/>
        <v>0</v>
      </c>
      <c r="I11" s="39"/>
    </row>
    <row r="12" spans="1:9" s="12" customFormat="1" ht="21" customHeight="1">
      <c r="A12" s="15" t="s">
        <v>1117</v>
      </c>
      <c r="B12" s="19">
        <f>'BIEU 02-Bang CDSPS '!F168</f>
        <v>563513500</v>
      </c>
      <c r="C12" s="39"/>
      <c r="D12" s="19">
        <f>'BIEU 02-Bang CDSPS '!J168</f>
        <v>3916254100</v>
      </c>
      <c r="E12" s="39"/>
      <c r="F12" s="19">
        <f>'BIEU 02-Bang CDSPS '!H168</f>
        <v>4333966000</v>
      </c>
      <c r="G12" s="39"/>
      <c r="H12" s="19">
        <f t="shared" si="0"/>
        <v>145801600</v>
      </c>
      <c r="I12" s="39"/>
    </row>
    <row r="13" spans="1:9" s="12" customFormat="1" ht="21" customHeight="1">
      <c r="A13" s="81" t="s">
        <v>835</v>
      </c>
      <c r="B13" s="274">
        <f>SUM(B6:B12)</f>
        <v>21009073139</v>
      </c>
      <c r="C13" s="275"/>
      <c r="D13" s="274">
        <f>SUM(D6:D12)</f>
        <v>41821315921</v>
      </c>
      <c r="E13" s="275"/>
      <c r="F13" s="274">
        <f>SUM(F6:F12)</f>
        <v>31611687135</v>
      </c>
      <c r="G13" s="275"/>
      <c r="H13" s="274">
        <f>SUM(H6:H12)</f>
        <v>31218701925</v>
      </c>
      <c r="I13" s="39"/>
    </row>
    <row r="14" spans="1:9" s="21" customFormat="1" ht="19.5" customHeight="1">
      <c r="A14" s="62"/>
      <c r="B14" s="29"/>
      <c r="C14" s="47"/>
      <c r="D14" s="29"/>
      <c r="E14" s="47"/>
      <c r="F14" s="29"/>
      <c r="G14" s="47"/>
      <c r="H14" s="29"/>
      <c r="I14" s="121"/>
    </row>
    <row r="15" spans="1:8" s="111" customFormat="1" ht="28.5" customHeight="1">
      <c r="A15" s="12" t="s">
        <v>20</v>
      </c>
      <c r="B15" s="12"/>
      <c r="C15" s="12"/>
      <c r="D15" s="18">
        <f>'BIEU 02-Bang CDSPS '!H55</f>
        <v>6979202569</v>
      </c>
      <c r="E15" s="273"/>
      <c r="F15" s="273"/>
      <c r="G15" s="276"/>
      <c r="H15" s="276"/>
    </row>
    <row r="16" spans="1:8" s="111" customFormat="1" ht="21" customHeight="1" hidden="1">
      <c r="A16" s="12" t="s">
        <v>839</v>
      </c>
      <c r="B16" s="276"/>
      <c r="C16" s="276"/>
      <c r="D16" s="277">
        <v>0</v>
      </c>
      <c r="E16" s="273"/>
      <c r="F16" s="273"/>
      <c r="G16" s="276"/>
      <c r="H16" s="276"/>
    </row>
    <row r="17" spans="1:8" s="111" customFormat="1" ht="21" customHeight="1" hidden="1">
      <c r="A17" s="12" t="s">
        <v>838</v>
      </c>
      <c r="B17" s="276"/>
      <c r="C17" s="276"/>
      <c r="D17" s="277">
        <v>0</v>
      </c>
      <c r="E17" s="273"/>
      <c r="F17" s="277"/>
      <c r="G17" s="276"/>
      <c r="H17" s="276"/>
    </row>
    <row r="18" spans="1:8" s="111" customFormat="1" ht="21" customHeight="1">
      <c r="A18" s="12" t="s">
        <v>21</v>
      </c>
      <c r="B18" s="276"/>
      <c r="C18" s="276"/>
      <c r="D18" s="277">
        <f>D15-D16-D17</f>
        <v>6979202569</v>
      </c>
      <c r="E18" s="273"/>
      <c r="F18" s="277"/>
      <c r="G18" s="276"/>
      <c r="H18" s="276"/>
    </row>
    <row r="19" spans="1:8" s="111" customFormat="1" ht="21.75" customHeight="1">
      <c r="A19" s="12" t="s">
        <v>18</v>
      </c>
      <c r="B19" s="276"/>
      <c r="C19" s="276"/>
      <c r="D19" s="277">
        <f>'BIEU 02-Bang CDSPS '!J162</f>
        <v>12667169879</v>
      </c>
      <c r="E19" s="273"/>
      <c r="F19" s="273"/>
      <c r="G19" s="276"/>
      <c r="H19" s="276"/>
    </row>
    <row r="20" spans="1:8" s="111" customFormat="1" ht="18">
      <c r="A20" s="12" t="s">
        <v>19</v>
      </c>
      <c r="B20" s="276"/>
      <c r="C20" s="276"/>
      <c r="D20" s="277">
        <f>D19-D18</f>
        <v>5687967310</v>
      </c>
      <c r="E20" s="273"/>
      <c r="F20" s="273"/>
      <c r="G20" s="276"/>
      <c r="H20" s="276"/>
    </row>
    <row r="22" spans="1:8" s="73" customFormat="1" ht="18">
      <c r="A22" s="6" t="s">
        <v>17</v>
      </c>
      <c r="B22" s="276"/>
      <c r="C22" s="49" t="s">
        <v>645</v>
      </c>
      <c r="D22" s="22"/>
      <c r="E22" s="22"/>
      <c r="F22" s="22"/>
      <c r="G22" s="223" t="s">
        <v>771</v>
      </c>
      <c r="H22" s="22"/>
    </row>
    <row r="23" spans="2:8" s="73" customFormat="1" ht="17.25">
      <c r="B23" s="22"/>
      <c r="C23" s="22"/>
      <c r="D23" s="22"/>
      <c r="E23" s="22"/>
      <c r="F23" s="88"/>
      <c r="G23" s="88"/>
      <c r="H23" s="22"/>
    </row>
    <row r="24" spans="2:8" s="73" customFormat="1" ht="17.25">
      <c r="B24" s="22"/>
      <c r="C24" s="22"/>
      <c r="D24" s="22"/>
      <c r="E24" s="22"/>
      <c r="F24" s="88"/>
      <c r="G24" s="88"/>
      <c r="H24" s="22"/>
    </row>
    <row r="25" spans="2:8" s="73" customFormat="1" ht="17.25">
      <c r="B25" s="22"/>
      <c r="C25" s="22"/>
      <c r="D25" s="22"/>
      <c r="E25" s="22"/>
      <c r="F25" s="88"/>
      <c r="G25" s="88"/>
      <c r="H25" s="22"/>
    </row>
    <row r="26" spans="2:8" s="73" customFormat="1" ht="17.25">
      <c r="B26" s="22"/>
      <c r="C26" s="22"/>
      <c r="D26" s="22"/>
      <c r="E26" s="22"/>
      <c r="F26" s="88"/>
      <c r="G26" s="88"/>
      <c r="H26" s="22"/>
    </row>
    <row r="27" spans="1:8" s="73" customFormat="1" ht="24" customHeight="1">
      <c r="A27" s="132" t="s">
        <v>355</v>
      </c>
      <c r="B27" s="22"/>
      <c r="C27" s="22"/>
      <c r="D27" s="22"/>
      <c r="E27" s="22"/>
      <c r="F27" s="88"/>
      <c r="G27" s="88"/>
      <c r="H27" s="22"/>
    </row>
  </sheetData>
  <sheetProtection/>
  <mergeCells count="2">
    <mergeCell ref="A1:I1"/>
    <mergeCell ref="A2:I2"/>
  </mergeCells>
  <printOptions horizontalCentered="1"/>
  <pageMargins left="1.25" right="0" top="0.5" bottom="0" header="0" footer="0"/>
  <pageSetup horizontalDpi="300" verticalDpi="300" orientation="landscape" paperSize="9"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dimension ref="A1:T58"/>
  <sheetViews>
    <sheetView zoomScale="80" zoomScaleNormal="80" zoomScalePageLayoutView="0" workbookViewId="0" topLeftCell="A3">
      <selection activeCell="B34" sqref="B34"/>
    </sheetView>
  </sheetViews>
  <sheetFormatPr defaultColWidth="8.796875" defaultRowHeight="15"/>
  <cols>
    <col min="1" max="1" width="4.3984375" style="353" customWidth="1"/>
    <col min="2" max="2" width="28.19921875" style="353" customWidth="1"/>
    <col min="3" max="3" width="11" style="355" bestFit="1" customWidth="1"/>
    <col min="4" max="4" width="16.3984375" style="351" customWidth="1"/>
    <col min="5" max="5" width="15.8984375" style="351" customWidth="1"/>
    <col min="6" max="6" width="11.19921875" style="351" hidden="1" customWidth="1"/>
    <col min="7" max="7" width="11.69921875" style="351" hidden="1" customWidth="1"/>
    <col min="8" max="8" width="13.3984375" style="351" customWidth="1"/>
    <col min="9" max="9" width="14.5" style="351" customWidth="1"/>
    <col min="10" max="10" width="7.8984375" style="351" hidden="1" customWidth="1"/>
    <col min="11" max="11" width="7.59765625" style="351" hidden="1" customWidth="1"/>
    <col min="12" max="12" width="16.5" style="18" customWidth="1"/>
    <col min="13" max="13" width="14.8984375" style="18" customWidth="1"/>
    <col min="14" max="14" width="16.19921875" style="351" customWidth="1"/>
    <col min="15" max="15" width="16" style="351" hidden="1" customWidth="1"/>
    <col min="16" max="18" width="17.59765625" style="351" hidden="1" customWidth="1"/>
    <col min="19" max="16384" width="9" style="353" customWidth="1"/>
  </cols>
  <sheetData>
    <row r="1" spans="1:18" s="103" customFormat="1" ht="15">
      <c r="A1" s="109" t="s">
        <v>675</v>
      </c>
      <c r="C1" s="311"/>
      <c r="D1" s="104"/>
      <c r="E1" s="104"/>
      <c r="F1" s="104"/>
      <c r="G1" s="104"/>
      <c r="H1" s="104"/>
      <c r="I1" s="104"/>
      <c r="J1" s="104"/>
      <c r="K1" s="104"/>
      <c r="L1" s="18"/>
      <c r="M1" s="18"/>
      <c r="N1" s="312" t="s">
        <v>44</v>
      </c>
      <c r="O1" s="104"/>
      <c r="P1" s="104"/>
      <c r="Q1" s="104"/>
      <c r="R1" s="104"/>
    </row>
    <row r="2" spans="1:18" s="315" customFormat="1" ht="23.25" customHeight="1">
      <c r="A2" s="101" t="s">
        <v>632</v>
      </c>
      <c r="B2" s="103"/>
      <c r="C2" s="311"/>
      <c r="D2" s="104"/>
      <c r="E2" s="104"/>
      <c r="F2" s="104"/>
      <c r="G2" s="104"/>
      <c r="H2" s="104"/>
      <c r="I2" s="104"/>
      <c r="J2" s="104"/>
      <c r="K2" s="104"/>
      <c r="L2" s="313"/>
      <c r="M2" s="18"/>
      <c r="N2" s="314"/>
      <c r="O2" s="314"/>
      <c r="P2" s="314"/>
      <c r="Q2" s="314"/>
      <c r="R2" s="314"/>
    </row>
    <row r="3" spans="1:18" s="322" customFormat="1" ht="23.25">
      <c r="A3" s="316" t="s">
        <v>1161</v>
      </c>
      <c r="B3" s="317"/>
      <c r="C3" s="318"/>
      <c r="D3" s="319"/>
      <c r="E3" s="319"/>
      <c r="F3" s="319"/>
      <c r="G3" s="319"/>
      <c r="H3" s="319"/>
      <c r="I3" s="319"/>
      <c r="J3" s="319"/>
      <c r="K3" s="319"/>
      <c r="L3" s="366"/>
      <c r="M3" s="365"/>
      <c r="N3" s="319"/>
      <c r="O3" s="379" t="s">
        <v>1162</v>
      </c>
      <c r="P3" s="379"/>
      <c r="Q3" s="321"/>
      <c r="R3" s="321"/>
    </row>
    <row r="4" spans="1:18" s="322" customFormat="1" ht="16.5" customHeight="1">
      <c r="A4" s="316"/>
      <c r="B4" s="317"/>
      <c r="C4" s="318"/>
      <c r="D4" s="319"/>
      <c r="E4" s="319"/>
      <c r="F4" s="319"/>
      <c r="G4" s="319"/>
      <c r="H4" s="319"/>
      <c r="I4" s="319"/>
      <c r="J4" s="319"/>
      <c r="K4" s="319"/>
      <c r="L4" s="366"/>
      <c r="M4" s="365"/>
      <c r="N4" s="319"/>
      <c r="O4" s="320"/>
      <c r="P4" s="321"/>
      <c r="Q4" s="321"/>
      <c r="R4" s="321"/>
    </row>
    <row r="5" spans="1:18" s="12" customFormat="1" ht="15.75">
      <c r="A5" s="382" t="s">
        <v>637</v>
      </c>
      <c r="B5" s="300" t="s">
        <v>412</v>
      </c>
      <c r="C5" s="382" t="s">
        <v>841</v>
      </c>
      <c r="D5" s="385" t="s">
        <v>414</v>
      </c>
      <c r="E5" s="386"/>
      <c r="F5" s="386"/>
      <c r="G5" s="387"/>
      <c r="H5" s="324" t="s">
        <v>638</v>
      </c>
      <c r="I5" s="324" t="s">
        <v>638</v>
      </c>
      <c r="J5" s="380" t="s">
        <v>658</v>
      </c>
      <c r="K5" s="381"/>
      <c r="L5" s="324" t="s">
        <v>661</v>
      </c>
      <c r="M5" s="324" t="s">
        <v>663</v>
      </c>
      <c r="N5" s="324" t="s">
        <v>467</v>
      </c>
      <c r="O5" s="323" t="s">
        <v>414</v>
      </c>
      <c r="P5" s="324" t="s">
        <v>661</v>
      </c>
      <c r="Q5" s="140"/>
      <c r="R5" s="140"/>
    </row>
    <row r="6" spans="1:18" s="12" customFormat="1" ht="15.75">
      <c r="A6" s="383"/>
      <c r="B6" s="105" t="s">
        <v>419</v>
      </c>
      <c r="C6" s="383"/>
      <c r="D6" s="377" t="s">
        <v>413</v>
      </c>
      <c r="E6" s="327" t="s">
        <v>411</v>
      </c>
      <c r="F6" s="328" t="s">
        <v>415</v>
      </c>
      <c r="G6" s="327" t="s">
        <v>417</v>
      </c>
      <c r="H6" s="327" t="s">
        <v>639</v>
      </c>
      <c r="I6" s="327" t="s">
        <v>640</v>
      </c>
      <c r="J6" s="325"/>
      <c r="K6" s="326"/>
      <c r="L6" s="327" t="s">
        <v>662</v>
      </c>
      <c r="M6" s="327" t="s">
        <v>664</v>
      </c>
      <c r="N6" s="327" t="s">
        <v>468</v>
      </c>
      <c r="O6" s="377" t="s">
        <v>413</v>
      </c>
      <c r="P6" s="327" t="s">
        <v>662</v>
      </c>
      <c r="Q6" s="140">
        <v>641</v>
      </c>
      <c r="R6" s="140">
        <v>642</v>
      </c>
    </row>
    <row r="7" spans="1:18" s="12" customFormat="1" ht="15.75">
      <c r="A7" s="384"/>
      <c r="B7" s="301"/>
      <c r="C7" s="384"/>
      <c r="D7" s="378"/>
      <c r="E7" s="329" t="s">
        <v>412</v>
      </c>
      <c r="F7" s="330" t="s">
        <v>416</v>
      </c>
      <c r="G7" s="329" t="s">
        <v>418</v>
      </c>
      <c r="H7" s="329"/>
      <c r="I7" s="329"/>
      <c r="J7" s="331" t="s">
        <v>659</v>
      </c>
      <c r="K7" s="331" t="s">
        <v>660</v>
      </c>
      <c r="L7" s="329"/>
      <c r="M7" s="329"/>
      <c r="N7" s="329" t="s">
        <v>469</v>
      </c>
      <c r="O7" s="378"/>
      <c r="P7" s="329"/>
      <c r="Q7" s="140"/>
      <c r="R7" s="140"/>
    </row>
    <row r="8" spans="1:18" s="12" customFormat="1" ht="19.5" customHeight="1">
      <c r="A8" s="13" t="s">
        <v>641</v>
      </c>
      <c r="B8" s="3" t="s">
        <v>738</v>
      </c>
      <c r="C8" s="332"/>
      <c r="D8" s="333">
        <f>D9+D21+D24+D26+D25+D27+D28+D29+D30+D31</f>
        <v>279303427443</v>
      </c>
      <c r="E8" s="333">
        <f aca="true" t="shared" si="0" ref="E8:P8">E9+E21+E24+E26+E25+E27+E28+E29+E30+E31</f>
        <v>279303427443</v>
      </c>
      <c r="F8" s="333">
        <f t="shared" si="0"/>
        <v>0</v>
      </c>
      <c r="G8" s="333">
        <f t="shared" si="0"/>
        <v>0</v>
      </c>
      <c r="H8" s="333">
        <f t="shared" si="0"/>
        <v>4242256930</v>
      </c>
      <c r="I8" s="333">
        <f t="shared" si="0"/>
        <v>33085718438</v>
      </c>
      <c r="J8" s="333">
        <f t="shared" si="0"/>
        <v>0</v>
      </c>
      <c r="K8" s="333">
        <f t="shared" si="0"/>
        <v>0</v>
      </c>
      <c r="L8" s="333">
        <f t="shared" si="0"/>
        <v>446351658018</v>
      </c>
      <c r="M8" s="333">
        <f t="shared" si="0"/>
        <v>12561557936</v>
      </c>
      <c r="N8" s="333">
        <f t="shared" si="0"/>
        <v>129720255207</v>
      </c>
      <c r="O8" s="333">
        <f t="shared" si="0"/>
        <v>160112567246</v>
      </c>
      <c r="P8" s="333">
        <f t="shared" si="0"/>
        <v>250839591203</v>
      </c>
      <c r="Q8" s="333">
        <v>2168736319</v>
      </c>
      <c r="R8" s="333">
        <v>13065913135</v>
      </c>
    </row>
    <row r="9" spans="1:18" s="167" customFormat="1" ht="19.5" customHeight="1">
      <c r="A9" s="168">
        <v>1</v>
      </c>
      <c r="B9" s="169" t="s">
        <v>162</v>
      </c>
      <c r="C9" s="367">
        <f>C10+C13+C16</f>
        <v>7357.52</v>
      </c>
      <c r="D9" s="364">
        <f>D10+D13+D16+D20</f>
        <v>255927504880</v>
      </c>
      <c r="E9" s="364">
        <f aca="true" t="shared" si="1" ref="E9:P9">E10+E13+E16+E20</f>
        <v>255927504880</v>
      </c>
      <c r="F9" s="253">
        <f t="shared" si="1"/>
        <v>0</v>
      </c>
      <c r="G9" s="253">
        <f t="shared" si="1"/>
        <v>0</v>
      </c>
      <c r="H9" s="364">
        <f t="shared" si="1"/>
        <v>4170379995</v>
      </c>
      <c r="I9" s="364">
        <f t="shared" si="1"/>
        <v>33085718438</v>
      </c>
      <c r="J9" s="253">
        <f t="shared" si="1"/>
        <v>0</v>
      </c>
      <c r="K9" s="253">
        <f t="shared" si="1"/>
        <v>0</v>
      </c>
      <c r="L9" s="364">
        <f t="shared" si="1"/>
        <v>422646328233</v>
      </c>
      <c r="M9" s="364">
        <f t="shared" si="1"/>
        <v>10875562979</v>
      </c>
      <c r="N9" s="364">
        <f t="shared" si="1"/>
        <v>129462724920</v>
      </c>
      <c r="O9" s="253">
        <f t="shared" si="1"/>
        <v>145104032592</v>
      </c>
      <c r="P9" s="253">
        <f t="shared" si="1"/>
        <v>235724286249</v>
      </c>
      <c r="Q9" s="356"/>
      <c r="R9" s="356"/>
    </row>
    <row r="10" spans="1:18" s="75" customFormat="1" ht="19.5" customHeight="1">
      <c r="A10" s="143" t="s">
        <v>37</v>
      </c>
      <c r="B10" s="136" t="s">
        <v>165</v>
      </c>
      <c r="C10" s="334">
        <f>SUM(C11:C12)</f>
        <v>2311.176</v>
      </c>
      <c r="D10" s="335">
        <f>SUM(D11:D12)</f>
        <v>83243995871</v>
      </c>
      <c r="E10" s="335">
        <f>SUM(E11:E12)</f>
        <v>83243995871</v>
      </c>
      <c r="F10" s="252"/>
      <c r="G10" s="252">
        <f aca="true" t="shared" si="2" ref="G10:P10">SUM(G11:G12)</f>
        <v>0</v>
      </c>
      <c r="H10" s="335">
        <f t="shared" si="2"/>
        <v>2214069654</v>
      </c>
      <c r="I10" s="335">
        <f t="shared" si="2"/>
        <v>10393028955</v>
      </c>
      <c r="J10" s="252">
        <f t="shared" si="2"/>
        <v>0</v>
      </c>
      <c r="K10" s="252">
        <f t="shared" si="2"/>
        <v>0</v>
      </c>
      <c r="L10" s="335">
        <f t="shared" si="2"/>
        <v>142787835995</v>
      </c>
      <c r="M10" s="335">
        <f t="shared" si="2"/>
        <v>0</v>
      </c>
      <c r="N10" s="335">
        <f t="shared" si="2"/>
        <v>46936741515</v>
      </c>
      <c r="O10" s="252">
        <f t="shared" si="2"/>
        <v>43480469591</v>
      </c>
      <c r="P10" s="252">
        <f t="shared" si="2"/>
        <v>72767036522</v>
      </c>
      <c r="Q10" s="357"/>
      <c r="R10" s="357"/>
    </row>
    <row r="11" spans="1:18" s="75" customFormat="1" ht="19.5" customHeight="1">
      <c r="A11" s="74"/>
      <c r="B11" s="74" t="s">
        <v>656</v>
      </c>
      <c r="C11" s="368">
        <v>2.52</v>
      </c>
      <c r="D11" s="369">
        <f>E11+F11+G11</f>
        <v>103160250</v>
      </c>
      <c r="E11" s="8">
        <v>103160250</v>
      </c>
      <c r="F11" s="69"/>
      <c r="G11" s="69">
        <v>0</v>
      </c>
      <c r="H11" s="8">
        <v>9734619</v>
      </c>
      <c r="I11" s="8">
        <f>ROUND(7847636772/($C$11+$C$14+$C$17)*C11,0)</f>
        <v>11332081</v>
      </c>
      <c r="J11" s="69"/>
      <c r="K11" s="69"/>
      <c r="L11" s="8">
        <v>164450160</v>
      </c>
      <c r="M11" s="8">
        <v>0</v>
      </c>
      <c r="N11" s="8">
        <f>L11-D11-H11-I11</f>
        <v>40223210</v>
      </c>
      <c r="O11" s="76">
        <v>0</v>
      </c>
      <c r="P11" s="76">
        <v>0</v>
      </c>
      <c r="Q11" s="76"/>
      <c r="R11" s="76"/>
    </row>
    <row r="12" spans="1:18" s="75" customFormat="1" ht="19.5" customHeight="1">
      <c r="A12" s="74"/>
      <c r="B12" s="74" t="s">
        <v>991</v>
      </c>
      <c r="C12" s="368">
        <v>2308.656</v>
      </c>
      <c r="D12" s="369">
        <f>E12+F12+G12</f>
        <v>83140835621</v>
      </c>
      <c r="E12" s="8">
        <f>ROUND(175353835629/($C$12+$C$15+$C$18)*C12,0)</f>
        <v>83140835621</v>
      </c>
      <c r="F12" s="69"/>
      <c r="G12" s="69"/>
      <c r="H12" s="8">
        <v>2204335035</v>
      </c>
      <c r="I12" s="8">
        <f>ROUND(21896224084/($C$12+$C$15+$C$18)*C12,0)-1</f>
        <v>10381696874</v>
      </c>
      <c r="J12" s="69"/>
      <c r="K12" s="69"/>
      <c r="L12" s="8">
        <v>142623385835</v>
      </c>
      <c r="M12" s="8">
        <v>0</v>
      </c>
      <c r="N12" s="8">
        <f>L12-D12-H12-I12</f>
        <v>46896518305</v>
      </c>
      <c r="O12" s="76">
        <v>43480469591</v>
      </c>
      <c r="P12" s="76">
        <v>72767036522</v>
      </c>
      <c r="Q12" s="76"/>
      <c r="R12" s="76"/>
    </row>
    <row r="13" spans="1:18" s="75" customFormat="1" ht="19.5" customHeight="1">
      <c r="A13" s="143" t="s">
        <v>38</v>
      </c>
      <c r="B13" s="136" t="s">
        <v>655</v>
      </c>
      <c r="C13" s="334">
        <f>SUM(C14:C15)</f>
        <v>984.24</v>
      </c>
      <c r="D13" s="335">
        <f>SUM(D14:D15)</f>
        <v>35580649617</v>
      </c>
      <c r="E13" s="335">
        <f>SUM(E14:E15)</f>
        <v>35580649617</v>
      </c>
      <c r="F13" s="252"/>
      <c r="G13" s="252">
        <f aca="true" t="shared" si="3" ref="G13:P13">SUM(G14:G15)</f>
        <v>0</v>
      </c>
      <c r="H13" s="335">
        <f t="shared" si="3"/>
        <v>1593688200</v>
      </c>
      <c r="I13" s="335">
        <f t="shared" si="3"/>
        <v>4425986952</v>
      </c>
      <c r="J13" s="252">
        <f t="shared" si="3"/>
        <v>0</v>
      </c>
      <c r="K13" s="252">
        <f t="shared" si="3"/>
        <v>0</v>
      </c>
      <c r="L13" s="335">
        <f t="shared" si="3"/>
        <v>62347232652</v>
      </c>
      <c r="M13" s="335">
        <f t="shared" si="3"/>
        <v>0</v>
      </c>
      <c r="N13" s="335">
        <f t="shared" si="3"/>
        <v>20746907883</v>
      </c>
      <c r="O13" s="252">
        <f t="shared" si="3"/>
        <v>26739737935</v>
      </c>
      <c r="P13" s="252">
        <f t="shared" si="3"/>
        <v>42026793727</v>
      </c>
      <c r="Q13" s="357"/>
      <c r="R13" s="357"/>
    </row>
    <row r="14" spans="1:18" s="75" customFormat="1" ht="19.5" customHeight="1">
      <c r="A14" s="74"/>
      <c r="B14" s="74" t="s">
        <v>656</v>
      </c>
      <c r="C14" s="368">
        <v>59.52</v>
      </c>
      <c r="D14" s="369">
        <f>E14+F14+G14</f>
        <v>2279025852</v>
      </c>
      <c r="E14" s="8">
        <v>2279025852</v>
      </c>
      <c r="F14" s="69"/>
      <c r="G14" s="69"/>
      <c r="H14" s="8">
        <v>256158725</v>
      </c>
      <c r="I14" s="8">
        <f>ROUND(7847636772/($C$11+$C$14+$C$17)*C14,0)</f>
        <v>267652954</v>
      </c>
      <c r="J14" s="69"/>
      <c r="K14" s="69"/>
      <c r="L14" s="8">
        <v>3680845440</v>
      </c>
      <c r="M14" s="8">
        <v>0</v>
      </c>
      <c r="N14" s="8">
        <f>L14-D14-H14-I14</f>
        <v>878007909</v>
      </c>
      <c r="O14" s="76">
        <v>9387612092</v>
      </c>
      <c r="P14" s="76">
        <v>13858596663</v>
      </c>
      <c r="Q14" s="76"/>
      <c r="R14" s="76"/>
    </row>
    <row r="15" spans="1:20" s="75" customFormat="1" ht="19.5" customHeight="1">
      <c r="A15" s="74"/>
      <c r="B15" s="74" t="s">
        <v>991</v>
      </c>
      <c r="C15" s="368">
        <v>924.72</v>
      </c>
      <c r="D15" s="369">
        <f>E15+F15+G15</f>
        <v>33301623765</v>
      </c>
      <c r="E15" s="8">
        <f>ROUND(175353835629/($C$12+$C$15+$C$18)*C15,0)</f>
        <v>33301623765</v>
      </c>
      <c r="F15" s="69"/>
      <c r="G15" s="69"/>
      <c r="H15" s="8">
        <v>1337529475</v>
      </c>
      <c r="I15" s="8">
        <f>ROUND(21896224084/($C$12+$C$15+$C$18)*C15,0)</f>
        <v>4158333998</v>
      </c>
      <c r="J15" s="69"/>
      <c r="K15" s="69"/>
      <c r="L15" s="8">
        <v>58666387212</v>
      </c>
      <c r="M15" s="8">
        <v>0</v>
      </c>
      <c r="N15" s="8">
        <f>L15-D15-H15-I15</f>
        <v>19868899974</v>
      </c>
      <c r="O15" s="76">
        <v>17352125843</v>
      </c>
      <c r="P15" s="76">
        <v>28168197064</v>
      </c>
      <c r="Q15" s="76"/>
      <c r="R15" s="76"/>
      <c r="T15" s="75" t="s">
        <v>1091</v>
      </c>
    </row>
    <row r="16" spans="1:18" s="75" customFormat="1" ht="19.5" customHeight="1">
      <c r="A16" s="143" t="s">
        <v>39</v>
      </c>
      <c r="B16" s="136" t="s">
        <v>657</v>
      </c>
      <c r="C16" s="334">
        <f>SUM(C17:C19)</f>
        <v>4062.104</v>
      </c>
      <c r="D16" s="335">
        <f>SUM(D17:D19)</f>
        <v>137102859392</v>
      </c>
      <c r="E16" s="335">
        <f>SUM(E17:E19)</f>
        <v>137102859392</v>
      </c>
      <c r="F16" s="252"/>
      <c r="G16" s="252">
        <f>SUM(G17:G19)</f>
        <v>0</v>
      </c>
      <c r="H16" s="335">
        <f aca="true" t="shared" si="4" ref="H16:P16">SUM(H17:H19)</f>
        <v>362622141</v>
      </c>
      <c r="I16" s="335">
        <f t="shared" si="4"/>
        <v>18266702531</v>
      </c>
      <c r="J16" s="252">
        <f t="shared" si="4"/>
        <v>0</v>
      </c>
      <c r="K16" s="252">
        <f t="shared" si="4"/>
        <v>0</v>
      </c>
      <c r="L16" s="335">
        <f t="shared" si="4"/>
        <v>217511259586</v>
      </c>
      <c r="M16" s="335">
        <f t="shared" si="4"/>
        <v>10875562979</v>
      </c>
      <c r="N16" s="335">
        <f t="shared" si="4"/>
        <v>61779075522</v>
      </c>
      <c r="O16" s="252">
        <f t="shared" si="4"/>
        <v>74883825066</v>
      </c>
      <c r="P16" s="252">
        <f t="shared" si="4"/>
        <v>120930456000</v>
      </c>
      <c r="Q16" s="357"/>
      <c r="R16" s="357"/>
    </row>
    <row r="17" spans="1:18" s="75" customFormat="1" ht="19.5" customHeight="1">
      <c r="A17" s="74"/>
      <c r="B17" s="74" t="s">
        <v>656</v>
      </c>
      <c r="C17" s="368">
        <v>1683.098</v>
      </c>
      <c r="D17" s="369">
        <f>E17+F17+G17</f>
        <v>62518817934</v>
      </c>
      <c r="E17" s="8">
        <v>62518817934</v>
      </c>
      <c r="F17" s="69"/>
      <c r="G17" s="69"/>
      <c r="H17" s="8">
        <v>209314285</v>
      </c>
      <c r="I17" s="8">
        <f>ROUND(7847636772/($C$11+$C$14+$C$17)*C17,0)</f>
        <v>7568651737</v>
      </c>
      <c r="J17" s="69"/>
      <c r="K17" s="69"/>
      <c r="L17" s="8">
        <v>88710895300</v>
      </c>
      <c r="M17" s="8">
        <f>ROUND(L17*5%,0)</f>
        <v>4435544765</v>
      </c>
      <c r="N17" s="8">
        <f>L17-D17-H17-I17</f>
        <v>18414111344</v>
      </c>
      <c r="O17" s="76">
        <v>28781620612</v>
      </c>
      <c r="P17" s="76">
        <v>42432764000</v>
      </c>
      <c r="Q17" s="76"/>
      <c r="R17" s="76"/>
    </row>
    <row r="18" spans="1:18" s="75" customFormat="1" ht="19.5" customHeight="1">
      <c r="A18" s="74"/>
      <c r="B18" s="74" t="s">
        <v>990</v>
      </c>
      <c r="C18" s="368">
        <v>1635.852</v>
      </c>
      <c r="D18" s="369">
        <f>E18+F18+G18</f>
        <v>58911376243</v>
      </c>
      <c r="E18" s="8">
        <f>ROUND(175353835629/($C$12+$C$15+$C$18)*C18,0)</f>
        <v>58911376243</v>
      </c>
      <c r="F18" s="69"/>
      <c r="G18" s="69"/>
      <c r="H18" s="8">
        <v>153307856</v>
      </c>
      <c r="I18" s="8">
        <f>ROUND(21896224084/($C$12+$C$15+$C$18)*C18,0)</f>
        <v>7356193212</v>
      </c>
      <c r="J18" s="69"/>
      <c r="K18" s="69"/>
      <c r="L18" s="8">
        <v>101738385000</v>
      </c>
      <c r="M18" s="8">
        <f>ROUND(L18*5%,0)</f>
        <v>5086919250</v>
      </c>
      <c r="N18" s="8">
        <f>L18-D18-H18-I18</f>
        <v>35317507689</v>
      </c>
      <c r="O18" s="76">
        <v>38873010221</v>
      </c>
      <c r="P18" s="76">
        <v>65361002000</v>
      </c>
      <c r="Q18" s="76"/>
      <c r="R18" s="76"/>
    </row>
    <row r="19" spans="1:18" s="75" customFormat="1" ht="19.5" customHeight="1">
      <c r="A19" s="74"/>
      <c r="B19" s="74" t="s">
        <v>992</v>
      </c>
      <c r="C19" s="368">
        <v>743.154</v>
      </c>
      <c r="D19" s="369">
        <f>E19+F19+G19</f>
        <v>15672665215</v>
      </c>
      <c r="E19" s="8">
        <v>15672665215</v>
      </c>
      <c r="F19" s="69"/>
      <c r="G19" s="69"/>
      <c r="H19" s="8">
        <v>0</v>
      </c>
      <c r="I19" s="8">
        <v>3341857582</v>
      </c>
      <c r="J19" s="69"/>
      <c r="K19" s="69"/>
      <c r="L19" s="8">
        <f>21630000000+5431979286</f>
        <v>27061979286</v>
      </c>
      <c r="M19" s="8">
        <f>ROUND(L19*5%,0)</f>
        <v>1353098964</v>
      </c>
      <c r="N19" s="8">
        <f>L19-D19-H19-I19</f>
        <v>8047456489</v>
      </c>
      <c r="O19" s="76">
        <v>7229194233</v>
      </c>
      <c r="P19" s="76">
        <v>13136690000</v>
      </c>
      <c r="Q19" s="76"/>
      <c r="R19" s="76"/>
    </row>
    <row r="20" spans="1:18" s="162" customFormat="1" ht="19.5" customHeight="1" hidden="1">
      <c r="A20" s="143" t="s">
        <v>476</v>
      </c>
      <c r="B20" s="136" t="s">
        <v>477</v>
      </c>
      <c r="C20" s="334"/>
      <c r="D20" s="252">
        <f>E20+F20+G20</f>
        <v>0</v>
      </c>
      <c r="E20" s="70">
        <v>0</v>
      </c>
      <c r="F20" s="70"/>
      <c r="G20" s="70"/>
      <c r="H20" s="5">
        <v>0</v>
      </c>
      <c r="I20" s="70">
        <v>0</v>
      </c>
      <c r="J20" s="70"/>
      <c r="K20" s="70"/>
      <c r="L20" s="5">
        <v>0</v>
      </c>
      <c r="M20" s="5">
        <v>0</v>
      </c>
      <c r="N20" s="70">
        <f>L20-D20-H20-I20</f>
        <v>0</v>
      </c>
      <c r="O20" s="160"/>
      <c r="P20" s="160"/>
      <c r="Q20" s="160"/>
      <c r="R20" s="160"/>
    </row>
    <row r="21" spans="1:18" s="75" customFormat="1" ht="19.5" customHeight="1">
      <c r="A21" s="143">
        <v>2</v>
      </c>
      <c r="B21" s="136" t="s">
        <v>163</v>
      </c>
      <c r="C21" s="334">
        <f>SUM(C22:C23)</f>
        <v>93.952</v>
      </c>
      <c r="D21" s="335">
        <f>SUM(D22:D23)</f>
        <v>5429560878</v>
      </c>
      <c r="E21" s="335">
        <f aca="true" t="shared" si="5" ref="E21:P21">SUM(E22:E23)</f>
        <v>5429560878</v>
      </c>
      <c r="F21" s="252">
        <f t="shared" si="5"/>
        <v>0</v>
      </c>
      <c r="G21" s="252">
        <f t="shared" si="5"/>
        <v>0</v>
      </c>
      <c r="H21" s="335">
        <f t="shared" si="5"/>
        <v>71876935</v>
      </c>
      <c r="I21" s="335">
        <f t="shared" si="5"/>
        <v>0</v>
      </c>
      <c r="J21" s="252">
        <f t="shared" si="5"/>
        <v>0</v>
      </c>
      <c r="K21" s="252">
        <f t="shared" si="5"/>
        <v>0</v>
      </c>
      <c r="L21" s="335">
        <f t="shared" si="5"/>
        <v>5916181520</v>
      </c>
      <c r="M21" s="335">
        <f t="shared" si="5"/>
        <v>238251520</v>
      </c>
      <c r="N21" s="335">
        <f t="shared" si="5"/>
        <v>414743707</v>
      </c>
      <c r="O21" s="252">
        <f t="shared" si="5"/>
        <v>1997282314</v>
      </c>
      <c r="P21" s="252">
        <f t="shared" si="5"/>
        <v>2048695500</v>
      </c>
      <c r="Q21" s="357"/>
      <c r="R21" s="357"/>
    </row>
    <row r="22" spans="1:18" s="75" customFormat="1" ht="19.5" customHeight="1">
      <c r="A22" s="74"/>
      <c r="B22" s="74" t="s">
        <v>1158</v>
      </c>
      <c r="C22" s="368">
        <v>17.64</v>
      </c>
      <c r="D22" s="8">
        <f aca="true" t="shared" si="6" ref="D22:D49">E22+F22+G22</f>
        <v>1019429644</v>
      </c>
      <c r="E22" s="8">
        <f>ROUND(5429560878/($C$21)*C22,0)</f>
        <v>1019429644</v>
      </c>
      <c r="F22" s="69"/>
      <c r="G22" s="69"/>
      <c r="H22" s="8">
        <v>62386584</v>
      </c>
      <c r="I22" s="8">
        <v>0</v>
      </c>
      <c r="J22" s="69"/>
      <c r="K22" s="69"/>
      <c r="L22" s="8">
        <v>1151151120</v>
      </c>
      <c r="M22" s="8">
        <f>ROUND(L22*0%,0)</f>
        <v>0</v>
      </c>
      <c r="N22" s="369">
        <f aca="true" t="shared" si="7" ref="N22:N50">L22-D22-H22-I22</f>
        <v>69334892</v>
      </c>
      <c r="O22" s="76">
        <v>0</v>
      </c>
      <c r="P22" s="76">
        <v>0</v>
      </c>
      <c r="Q22" s="76"/>
      <c r="R22" s="76"/>
    </row>
    <row r="23" spans="1:18" s="75" customFormat="1" ht="19.5" customHeight="1">
      <c r="A23" s="74"/>
      <c r="B23" s="74" t="s">
        <v>1159</v>
      </c>
      <c r="C23" s="368">
        <v>76.312</v>
      </c>
      <c r="D23" s="8">
        <f t="shared" si="6"/>
        <v>4410131234</v>
      </c>
      <c r="E23" s="8">
        <f>ROUND(5429560878/($C$21)*C23,0)</f>
        <v>4410131234</v>
      </c>
      <c r="F23" s="69"/>
      <c r="G23" s="69"/>
      <c r="H23" s="8">
        <v>9490351</v>
      </c>
      <c r="I23" s="8">
        <v>0</v>
      </c>
      <c r="J23" s="69"/>
      <c r="K23" s="69"/>
      <c r="L23" s="8">
        <v>4765030400</v>
      </c>
      <c r="M23" s="8">
        <f>ROUND(L23*5%,0)</f>
        <v>238251520</v>
      </c>
      <c r="N23" s="369">
        <f t="shared" si="7"/>
        <v>345408815</v>
      </c>
      <c r="O23" s="76">
        <v>1997282314</v>
      </c>
      <c r="P23" s="76">
        <v>2048695500</v>
      </c>
      <c r="Q23" s="76"/>
      <c r="R23" s="76"/>
    </row>
    <row r="24" spans="1:18" s="12" customFormat="1" ht="19.5" customHeight="1">
      <c r="A24" s="14">
        <v>3</v>
      </c>
      <c r="B24" s="2" t="s">
        <v>164</v>
      </c>
      <c r="C24" s="334">
        <v>2916.461</v>
      </c>
      <c r="D24" s="5">
        <f t="shared" si="6"/>
        <v>6181596576</v>
      </c>
      <c r="E24" s="5">
        <f>3295841569+2885755007</f>
        <v>6181596576</v>
      </c>
      <c r="F24" s="5"/>
      <c r="G24" s="5"/>
      <c r="H24" s="5">
        <v>0</v>
      </c>
      <c r="I24" s="5">
        <v>0</v>
      </c>
      <c r="J24" s="5"/>
      <c r="K24" s="5"/>
      <c r="L24" s="5">
        <v>6181596576</v>
      </c>
      <c r="M24" s="5">
        <f>ROUND(L24*5%,0)+51</f>
        <v>309079880</v>
      </c>
      <c r="N24" s="335">
        <f t="shared" si="7"/>
        <v>0</v>
      </c>
      <c r="O24" s="80">
        <v>6063685510</v>
      </c>
      <c r="P24" s="80">
        <v>6063685510</v>
      </c>
      <c r="Q24" s="80"/>
      <c r="R24" s="80"/>
    </row>
    <row r="25" spans="1:18" s="12" customFormat="1" ht="19.5" customHeight="1" hidden="1">
      <c r="A25" s="14">
        <v>4</v>
      </c>
      <c r="B25" s="2" t="s">
        <v>769</v>
      </c>
      <c r="C25" s="334"/>
      <c r="D25" s="5">
        <f t="shared" si="6"/>
        <v>0</v>
      </c>
      <c r="E25" s="5">
        <v>0</v>
      </c>
      <c r="F25" s="5"/>
      <c r="G25" s="5"/>
      <c r="H25" s="5">
        <v>0</v>
      </c>
      <c r="I25" s="5">
        <v>0</v>
      </c>
      <c r="J25" s="5"/>
      <c r="K25" s="5"/>
      <c r="L25" s="5">
        <v>0</v>
      </c>
      <c r="M25" s="5">
        <f>ROUND(L25*10%,0)</f>
        <v>0</v>
      </c>
      <c r="N25" s="335">
        <f t="shared" si="7"/>
        <v>0</v>
      </c>
      <c r="O25" s="80">
        <v>175968795</v>
      </c>
      <c r="P25" s="80">
        <v>185871363</v>
      </c>
      <c r="Q25" s="80"/>
      <c r="R25" s="80"/>
    </row>
    <row r="26" spans="1:18" s="12" customFormat="1" ht="19.5" customHeight="1">
      <c r="A26" s="14">
        <v>5</v>
      </c>
      <c r="B26" s="2" t="s">
        <v>166</v>
      </c>
      <c r="C26" s="102"/>
      <c r="D26" s="5">
        <f t="shared" si="6"/>
        <v>129612000</v>
      </c>
      <c r="E26" s="5">
        <v>129612000</v>
      </c>
      <c r="F26" s="8"/>
      <c r="G26" s="8"/>
      <c r="H26" s="5">
        <v>0</v>
      </c>
      <c r="I26" s="5">
        <v>0</v>
      </c>
      <c r="J26" s="8"/>
      <c r="K26" s="8"/>
      <c r="L26" s="5">
        <v>129612000</v>
      </c>
      <c r="M26" s="5">
        <f>ROUND(L26*0%,0)</f>
        <v>0</v>
      </c>
      <c r="N26" s="335">
        <f t="shared" si="7"/>
        <v>0</v>
      </c>
      <c r="O26" s="80">
        <v>0</v>
      </c>
      <c r="P26" s="80">
        <v>45454545</v>
      </c>
      <c r="Q26" s="80"/>
      <c r="R26" s="80"/>
    </row>
    <row r="27" spans="1:18" s="12" customFormat="1" ht="19.5" customHeight="1" hidden="1">
      <c r="A27" s="14">
        <v>6</v>
      </c>
      <c r="B27" s="2" t="s">
        <v>167</v>
      </c>
      <c r="C27" s="102"/>
      <c r="D27" s="5">
        <f t="shared" si="6"/>
        <v>0</v>
      </c>
      <c r="E27" s="5">
        <v>0</v>
      </c>
      <c r="F27" s="8"/>
      <c r="G27" s="8"/>
      <c r="H27" s="5">
        <v>0</v>
      </c>
      <c r="I27" s="5">
        <v>0</v>
      </c>
      <c r="J27" s="8"/>
      <c r="K27" s="8"/>
      <c r="L27" s="5">
        <v>0</v>
      </c>
      <c r="M27" s="5">
        <f>ROUND(L27*10%,0)</f>
        <v>0</v>
      </c>
      <c r="N27" s="335">
        <f t="shared" si="7"/>
        <v>0</v>
      </c>
      <c r="O27" s="80">
        <v>0</v>
      </c>
      <c r="P27" s="80">
        <v>0</v>
      </c>
      <c r="Q27" s="80"/>
      <c r="R27" s="80"/>
    </row>
    <row r="28" spans="1:18" s="12" customFormat="1" ht="19.5" customHeight="1">
      <c r="A28" s="14">
        <v>7</v>
      </c>
      <c r="B28" s="2" t="s">
        <v>168</v>
      </c>
      <c r="C28" s="102"/>
      <c r="D28" s="5">
        <f t="shared" si="6"/>
        <v>182543873</v>
      </c>
      <c r="E28" s="5">
        <f>117000+56750873+125676000</f>
        <v>182543873</v>
      </c>
      <c r="F28" s="8"/>
      <c r="G28" s="8"/>
      <c r="H28" s="5">
        <v>0</v>
      </c>
      <c r="I28" s="5">
        <v>0</v>
      </c>
      <c r="J28" s="8"/>
      <c r="K28" s="8"/>
      <c r="L28" s="5">
        <v>182543873</v>
      </c>
      <c r="M28" s="5">
        <f>123350+17707987</f>
        <v>17831337</v>
      </c>
      <c r="N28" s="335">
        <f t="shared" si="7"/>
        <v>0</v>
      </c>
      <c r="O28" s="80">
        <v>63328499</v>
      </c>
      <c r="P28" s="80">
        <v>63328500</v>
      </c>
      <c r="Q28" s="80"/>
      <c r="R28" s="80"/>
    </row>
    <row r="29" spans="1:18" s="12" customFormat="1" ht="19.5" customHeight="1">
      <c r="A29" s="14">
        <v>8</v>
      </c>
      <c r="B29" s="2" t="s">
        <v>324</v>
      </c>
      <c r="C29" s="102"/>
      <c r="D29" s="5">
        <f t="shared" si="6"/>
        <v>174143275</v>
      </c>
      <c r="E29" s="5">
        <f>36752628+137390647</f>
        <v>174143275</v>
      </c>
      <c r="F29" s="8"/>
      <c r="G29" s="8"/>
      <c r="H29" s="5">
        <v>0</v>
      </c>
      <c r="I29" s="5">
        <v>0</v>
      </c>
      <c r="J29" s="8"/>
      <c r="K29" s="8"/>
      <c r="L29" s="5">
        <v>174143275</v>
      </c>
      <c r="M29" s="5">
        <f>ROUND(L29*5%,0)-199</f>
        <v>8706965</v>
      </c>
      <c r="N29" s="335">
        <f t="shared" si="7"/>
        <v>0</v>
      </c>
      <c r="O29" s="80">
        <v>84105652</v>
      </c>
      <c r="P29" s="80">
        <v>84105652</v>
      </c>
      <c r="Q29" s="80"/>
      <c r="R29" s="80"/>
    </row>
    <row r="30" spans="1:18" s="12" customFormat="1" ht="19.5" customHeight="1">
      <c r="A30" s="14">
        <v>9</v>
      </c>
      <c r="B30" s="2" t="s">
        <v>777</v>
      </c>
      <c r="C30" s="102"/>
      <c r="D30" s="5">
        <f t="shared" si="6"/>
        <v>10199464689</v>
      </c>
      <c r="E30" s="5">
        <f>6714012257+3485452432</f>
        <v>10199464689</v>
      </c>
      <c r="F30" s="8"/>
      <c r="G30" s="8"/>
      <c r="H30" s="5">
        <v>0</v>
      </c>
      <c r="I30" s="5">
        <v>0</v>
      </c>
      <c r="J30" s="8"/>
      <c r="K30" s="8"/>
      <c r="L30" s="5">
        <f>6787014629+3488777912</f>
        <v>10275792541</v>
      </c>
      <c r="M30" s="5">
        <f>ROUND(L30*10%,0)+1</f>
        <v>1027579255</v>
      </c>
      <c r="N30" s="335">
        <f t="shared" si="7"/>
        <v>76327852</v>
      </c>
      <c r="O30" s="80">
        <v>6624163884</v>
      </c>
      <c r="P30" s="80">
        <v>6624163884</v>
      </c>
      <c r="Q30" s="80"/>
      <c r="R30" s="80"/>
    </row>
    <row r="31" spans="1:18" s="12" customFormat="1" ht="19.5" customHeight="1">
      <c r="A31" s="14">
        <v>10</v>
      </c>
      <c r="B31" s="2" t="s">
        <v>1139</v>
      </c>
      <c r="C31" s="102"/>
      <c r="D31" s="5">
        <f t="shared" si="6"/>
        <v>1079001272</v>
      </c>
      <c r="E31" s="5">
        <v>1079001272</v>
      </c>
      <c r="F31" s="8"/>
      <c r="G31" s="8"/>
      <c r="H31" s="5">
        <v>0</v>
      </c>
      <c r="I31" s="5">
        <v>0</v>
      </c>
      <c r="J31" s="8"/>
      <c r="K31" s="8"/>
      <c r="L31" s="5">
        <v>845460000</v>
      </c>
      <c r="M31" s="5">
        <v>84546000</v>
      </c>
      <c r="N31" s="335">
        <f t="shared" si="7"/>
        <v>-233541272</v>
      </c>
      <c r="O31" s="80"/>
      <c r="P31" s="80"/>
      <c r="Q31" s="80"/>
      <c r="R31" s="80"/>
    </row>
    <row r="32" spans="1:19" s="12" customFormat="1" ht="19.5" customHeight="1">
      <c r="A32" s="14" t="s">
        <v>642</v>
      </c>
      <c r="B32" s="2" t="s">
        <v>737</v>
      </c>
      <c r="C32" s="102"/>
      <c r="D32" s="5">
        <f aca="true" t="shared" si="8" ref="D32:N32">SUM(D33:D40)</f>
        <v>2058890625</v>
      </c>
      <c r="E32" s="5">
        <f t="shared" si="8"/>
        <v>2058890625</v>
      </c>
      <c r="F32" s="5">
        <f t="shared" si="8"/>
        <v>0</v>
      </c>
      <c r="G32" s="5">
        <f t="shared" si="8"/>
        <v>0</v>
      </c>
      <c r="H32" s="5">
        <f t="shared" si="8"/>
        <v>0</v>
      </c>
      <c r="I32" s="5">
        <f t="shared" si="8"/>
        <v>0</v>
      </c>
      <c r="J32" s="5">
        <f t="shared" si="8"/>
        <v>0</v>
      </c>
      <c r="K32" s="5">
        <f t="shared" si="8"/>
        <v>0</v>
      </c>
      <c r="L32" s="5">
        <f t="shared" si="8"/>
        <v>24022552445</v>
      </c>
      <c r="M32" s="5">
        <f t="shared" si="8"/>
        <v>0</v>
      </c>
      <c r="N32" s="5">
        <f t="shared" si="8"/>
        <v>21963661820</v>
      </c>
      <c r="O32" s="80">
        <f>SUM(O33:O40)</f>
        <v>2029711696</v>
      </c>
      <c r="P32" s="80">
        <f>SUM(P33:P40)</f>
        <v>3865538865</v>
      </c>
      <c r="Q32" s="80"/>
      <c r="R32" s="80"/>
      <c r="S32" s="362" t="s">
        <v>1160</v>
      </c>
    </row>
    <row r="33" spans="1:18" s="84" customFormat="1" ht="19.5" customHeight="1">
      <c r="A33" s="336"/>
      <c r="B33" s="337" t="s">
        <v>790</v>
      </c>
      <c r="C33" s="338"/>
      <c r="D33" s="9">
        <f>SUM(E33:I33)</f>
        <v>2058890625</v>
      </c>
      <c r="E33" s="9">
        <f>931200611+1127690014</f>
        <v>2058890625</v>
      </c>
      <c r="F33" s="9"/>
      <c r="G33" s="9"/>
      <c r="H33" s="9">
        <v>0</v>
      </c>
      <c r="I33" s="9">
        <v>0</v>
      </c>
      <c r="J33" s="9"/>
      <c r="K33" s="9"/>
      <c r="L33" s="9">
        <f>2570343293+4321694539+4702793199</f>
        <v>11594831031</v>
      </c>
      <c r="M33" s="9">
        <v>0</v>
      </c>
      <c r="N33" s="9">
        <f t="shared" si="7"/>
        <v>9535940406</v>
      </c>
      <c r="O33" s="339">
        <v>2029711696</v>
      </c>
      <c r="P33" s="339">
        <v>1476194741</v>
      </c>
      <c r="Q33" s="339"/>
      <c r="R33" s="339"/>
    </row>
    <row r="34" spans="1:18" s="84" customFormat="1" ht="19.5" customHeight="1">
      <c r="A34" s="336"/>
      <c r="B34" s="337" t="s">
        <v>791</v>
      </c>
      <c r="C34" s="338"/>
      <c r="D34" s="9">
        <f aca="true" t="shared" si="9" ref="D34:D40">SUM(E34:I34)</f>
        <v>0</v>
      </c>
      <c r="E34" s="9">
        <v>0</v>
      </c>
      <c r="F34" s="9"/>
      <c r="G34" s="9"/>
      <c r="H34" s="9">
        <v>0</v>
      </c>
      <c r="I34" s="9">
        <v>0</v>
      </c>
      <c r="J34" s="9"/>
      <c r="K34" s="9"/>
      <c r="L34" s="9">
        <f>418165467+613526400+298757100</f>
        <v>1330448967</v>
      </c>
      <c r="M34" s="9">
        <v>0</v>
      </c>
      <c r="N34" s="9">
        <f t="shared" si="7"/>
        <v>1330448967</v>
      </c>
      <c r="O34" s="339"/>
      <c r="P34" s="339">
        <v>712062333</v>
      </c>
      <c r="Q34" s="339"/>
      <c r="R34" s="339"/>
    </row>
    <row r="35" spans="1:18" s="84" customFormat="1" ht="19.5" customHeight="1">
      <c r="A35" s="336"/>
      <c r="B35" s="337" t="s">
        <v>792</v>
      </c>
      <c r="C35" s="338"/>
      <c r="D35" s="9">
        <f t="shared" si="9"/>
        <v>0</v>
      </c>
      <c r="E35" s="9">
        <v>0</v>
      </c>
      <c r="F35" s="9"/>
      <c r="G35" s="9"/>
      <c r="H35" s="9">
        <v>0</v>
      </c>
      <c r="I35" s="9">
        <v>0</v>
      </c>
      <c r="J35" s="9"/>
      <c r="K35" s="9"/>
      <c r="L35" s="9">
        <f>677221000+243873445+17159680</f>
        <v>938254125</v>
      </c>
      <c r="M35" s="9">
        <v>0</v>
      </c>
      <c r="N35" s="9">
        <f t="shared" si="7"/>
        <v>938254125</v>
      </c>
      <c r="O35" s="339"/>
      <c r="P35" s="339">
        <v>1673181991</v>
      </c>
      <c r="Q35" s="339"/>
      <c r="R35" s="339"/>
    </row>
    <row r="36" spans="1:18" s="84" customFormat="1" ht="19.5" customHeight="1">
      <c r="A36" s="336"/>
      <c r="B36" s="337" t="s">
        <v>793</v>
      </c>
      <c r="C36" s="338"/>
      <c r="D36" s="9">
        <f t="shared" si="9"/>
        <v>0</v>
      </c>
      <c r="E36" s="9">
        <v>0</v>
      </c>
      <c r="F36" s="9"/>
      <c r="G36" s="9"/>
      <c r="H36" s="9">
        <v>0</v>
      </c>
      <c r="I36" s="9">
        <v>0</v>
      </c>
      <c r="J36" s="9"/>
      <c r="K36" s="9"/>
      <c r="L36" s="9">
        <f>9367098573+730525805</f>
        <v>10097624378</v>
      </c>
      <c r="M36" s="9">
        <v>0</v>
      </c>
      <c r="N36" s="9">
        <f t="shared" si="7"/>
        <v>10097624378</v>
      </c>
      <c r="O36" s="339"/>
      <c r="P36" s="339">
        <v>0</v>
      </c>
      <c r="Q36" s="339"/>
      <c r="R36" s="339"/>
    </row>
    <row r="37" spans="1:18" s="84" customFormat="1" ht="19.5" customHeight="1" hidden="1">
      <c r="A37" s="336"/>
      <c r="B37" s="337" t="s">
        <v>794</v>
      </c>
      <c r="C37" s="338"/>
      <c r="D37" s="9">
        <f t="shared" si="9"/>
        <v>0</v>
      </c>
      <c r="E37" s="9">
        <v>0</v>
      </c>
      <c r="F37" s="9"/>
      <c r="G37" s="9"/>
      <c r="H37" s="9">
        <v>0</v>
      </c>
      <c r="I37" s="9">
        <v>0</v>
      </c>
      <c r="J37" s="9"/>
      <c r="K37" s="9"/>
      <c r="L37" s="9">
        <v>0</v>
      </c>
      <c r="M37" s="9">
        <v>0</v>
      </c>
      <c r="N37" s="9">
        <f t="shared" si="7"/>
        <v>0</v>
      </c>
      <c r="O37" s="339"/>
      <c r="P37" s="339"/>
      <c r="Q37" s="339"/>
      <c r="R37" s="339"/>
    </row>
    <row r="38" spans="1:18" s="84" customFormat="1" ht="19.5" customHeight="1" hidden="1">
      <c r="A38" s="336"/>
      <c r="B38" s="337" t="s">
        <v>795</v>
      </c>
      <c r="C38" s="338"/>
      <c r="D38" s="9">
        <f t="shared" si="9"/>
        <v>0</v>
      </c>
      <c r="E38" s="9">
        <v>0</v>
      </c>
      <c r="F38" s="9"/>
      <c r="G38" s="9"/>
      <c r="H38" s="9">
        <v>0</v>
      </c>
      <c r="I38" s="9">
        <v>0</v>
      </c>
      <c r="J38" s="9"/>
      <c r="K38" s="9"/>
      <c r="L38" s="9">
        <v>0</v>
      </c>
      <c r="M38" s="9">
        <v>0</v>
      </c>
      <c r="N38" s="9">
        <f t="shared" si="7"/>
        <v>0</v>
      </c>
      <c r="O38" s="339"/>
      <c r="P38" s="339"/>
      <c r="Q38" s="339"/>
      <c r="R38" s="339"/>
    </row>
    <row r="39" spans="1:18" s="84" customFormat="1" ht="19.5" customHeight="1">
      <c r="A39" s="336"/>
      <c r="B39" s="337" t="s">
        <v>796</v>
      </c>
      <c r="C39" s="338"/>
      <c r="D39" s="9">
        <f t="shared" si="9"/>
        <v>0</v>
      </c>
      <c r="E39" s="9">
        <v>0</v>
      </c>
      <c r="F39" s="9"/>
      <c r="G39" s="9"/>
      <c r="H39" s="9">
        <v>0</v>
      </c>
      <c r="I39" s="9">
        <v>0</v>
      </c>
      <c r="J39" s="9"/>
      <c r="K39" s="9"/>
      <c r="L39" s="9">
        <v>33701444</v>
      </c>
      <c r="M39" s="9">
        <v>0</v>
      </c>
      <c r="N39" s="9">
        <f t="shared" si="7"/>
        <v>33701444</v>
      </c>
      <c r="O39" s="339"/>
      <c r="P39" s="339">
        <v>3895800</v>
      </c>
      <c r="Q39" s="339"/>
      <c r="R39" s="339"/>
    </row>
    <row r="40" spans="1:18" s="84" customFormat="1" ht="19.5" customHeight="1">
      <c r="A40" s="336"/>
      <c r="B40" s="337" t="s">
        <v>797</v>
      </c>
      <c r="C40" s="338"/>
      <c r="D40" s="9">
        <f t="shared" si="9"/>
        <v>0</v>
      </c>
      <c r="E40" s="9">
        <v>0</v>
      </c>
      <c r="F40" s="9"/>
      <c r="G40" s="9"/>
      <c r="H40" s="9">
        <v>0</v>
      </c>
      <c r="I40" s="9">
        <v>0</v>
      </c>
      <c r="J40" s="9"/>
      <c r="K40" s="9"/>
      <c r="L40" s="9">
        <v>27692500</v>
      </c>
      <c r="M40" s="9">
        <v>0</v>
      </c>
      <c r="N40" s="9">
        <f t="shared" si="7"/>
        <v>27692500</v>
      </c>
      <c r="O40" s="339"/>
      <c r="P40" s="339">
        <v>204000</v>
      </c>
      <c r="Q40" s="339"/>
      <c r="R40" s="339"/>
    </row>
    <row r="41" spans="1:19" s="12" customFormat="1" ht="19.5" customHeight="1">
      <c r="A41" s="14" t="s">
        <v>643</v>
      </c>
      <c r="B41" s="2" t="s">
        <v>722</v>
      </c>
      <c r="C41" s="102"/>
      <c r="D41" s="5">
        <f>SUM(D42:D49)</f>
        <v>9644939952</v>
      </c>
      <c r="E41" s="5">
        <f>SUM(E42:E49)</f>
        <v>9644939952</v>
      </c>
      <c r="F41" s="5">
        <f aca="true" t="shared" si="10" ref="F41:N41">SUM(F42:F49)</f>
        <v>0</v>
      </c>
      <c r="G41" s="5">
        <f t="shared" si="10"/>
        <v>0</v>
      </c>
      <c r="H41" s="5">
        <f t="shared" si="10"/>
        <v>0</v>
      </c>
      <c r="I41" s="5">
        <f t="shared" si="10"/>
        <v>0</v>
      </c>
      <c r="J41" s="5">
        <f t="shared" si="10"/>
        <v>0</v>
      </c>
      <c r="K41" s="5">
        <f t="shared" si="10"/>
        <v>0</v>
      </c>
      <c r="L41" s="5">
        <f t="shared" si="10"/>
        <v>22698844935</v>
      </c>
      <c r="M41" s="5">
        <f t="shared" si="10"/>
        <v>105611943</v>
      </c>
      <c r="N41" s="5">
        <f t="shared" si="10"/>
        <v>13053904983</v>
      </c>
      <c r="O41" s="80">
        <v>8680093208</v>
      </c>
      <c r="P41" s="80">
        <v>23068222347</v>
      </c>
      <c r="Q41" s="80"/>
      <c r="R41" s="80"/>
      <c r="S41" s="362" t="s">
        <v>1160</v>
      </c>
    </row>
    <row r="42" spans="1:18" s="12" customFormat="1" ht="18" customHeight="1">
      <c r="A42" s="14"/>
      <c r="B42" s="337" t="s">
        <v>512</v>
      </c>
      <c r="C42" s="338"/>
      <c r="D42" s="9">
        <f t="shared" si="6"/>
        <v>9549531394</v>
      </c>
      <c r="E42" s="9">
        <f>3392369628+6067550745+89611021</f>
        <v>9549531394</v>
      </c>
      <c r="F42" s="9"/>
      <c r="G42" s="9"/>
      <c r="H42" s="9">
        <v>0</v>
      </c>
      <c r="I42" s="9">
        <v>0</v>
      </c>
      <c r="J42" s="9"/>
      <c r="K42" s="9"/>
      <c r="L42" s="9">
        <f>7601286088+116552000+12364599178+541073000+239033700+639500000</f>
        <v>21502043966</v>
      </c>
      <c r="M42" s="9">
        <v>0</v>
      </c>
      <c r="N42" s="9">
        <f t="shared" si="7"/>
        <v>11952512572</v>
      </c>
      <c r="O42" s="339"/>
      <c r="P42" s="339"/>
      <c r="Q42" s="339"/>
      <c r="R42" s="339"/>
    </row>
    <row r="43" spans="1:18" s="12" customFormat="1" ht="18" customHeight="1">
      <c r="A43" s="14"/>
      <c r="B43" s="337" t="s">
        <v>1140</v>
      </c>
      <c r="C43" s="338"/>
      <c r="D43" s="9">
        <f t="shared" si="6"/>
        <v>48256378</v>
      </c>
      <c r="E43" s="9">
        <v>48256378</v>
      </c>
      <c r="F43" s="9"/>
      <c r="G43" s="9"/>
      <c r="H43" s="9"/>
      <c r="I43" s="9"/>
      <c r="J43" s="9"/>
      <c r="K43" s="9"/>
      <c r="L43" s="9">
        <f>390000000+273636364</f>
        <v>663636364</v>
      </c>
      <c r="M43" s="9">
        <v>66363636</v>
      </c>
      <c r="N43" s="9">
        <f t="shared" si="7"/>
        <v>615379986</v>
      </c>
      <c r="O43" s="339"/>
      <c r="P43" s="339"/>
      <c r="Q43" s="339"/>
      <c r="R43" s="339"/>
    </row>
    <row r="44" spans="1:18" s="12" customFormat="1" ht="18" customHeight="1">
      <c r="A44" s="14"/>
      <c r="B44" s="337" t="s">
        <v>798</v>
      </c>
      <c r="C44" s="338"/>
      <c r="D44" s="9">
        <f t="shared" si="6"/>
        <v>20000000</v>
      </c>
      <c r="E44" s="9">
        <v>20000000</v>
      </c>
      <c r="F44" s="9"/>
      <c r="G44" s="9"/>
      <c r="H44" s="9">
        <v>0</v>
      </c>
      <c r="I44" s="9">
        <v>0</v>
      </c>
      <c r="J44" s="9"/>
      <c r="K44" s="9"/>
      <c r="L44" s="9">
        <v>111428572</v>
      </c>
      <c r="M44" s="9">
        <v>5571428</v>
      </c>
      <c r="N44" s="9">
        <f t="shared" si="7"/>
        <v>91428572</v>
      </c>
      <c r="O44" s="339"/>
      <c r="P44" s="339"/>
      <c r="Q44" s="339"/>
      <c r="R44" s="339"/>
    </row>
    <row r="45" spans="1:18" s="12" customFormat="1" ht="18" customHeight="1">
      <c r="A45" s="14"/>
      <c r="B45" s="337" t="s">
        <v>799</v>
      </c>
      <c r="C45" s="338"/>
      <c r="D45" s="9">
        <f t="shared" si="6"/>
        <v>0</v>
      </c>
      <c r="E45" s="9"/>
      <c r="F45" s="9"/>
      <c r="G45" s="9"/>
      <c r="H45" s="9">
        <v>0</v>
      </c>
      <c r="I45" s="9">
        <v>0</v>
      </c>
      <c r="J45" s="9"/>
      <c r="K45" s="9"/>
      <c r="L45" s="9">
        <f>139341559+80466181</f>
        <v>219807740</v>
      </c>
      <c r="M45" s="9">
        <v>21945060</v>
      </c>
      <c r="N45" s="9">
        <f t="shared" si="7"/>
        <v>219807740</v>
      </c>
      <c r="O45" s="339"/>
      <c r="P45" s="339"/>
      <c r="Q45" s="339"/>
      <c r="R45" s="339"/>
    </row>
    <row r="46" spans="1:18" s="12" customFormat="1" ht="18" customHeight="1" hidden="1">
      <c r="A46" s="14"/>
      <c r="B46" s="337" t="s">
        <v>800</v>
      </c>
      <c r="C46" s="338"/>
      <c r="D46" s="9">
        <f t="shared" si="6"/>
        <v>0</v>
      </c>
      <c r="E46" s="9"/>
      <c r="F46" s="9"/>
      <c r="G46" s="9"/>
      <c r="H46" s="9">
        <v>0</v>
      </c>
      <c r="I46" s="9">
        <v>0</v>
      </c>
      <c r="J46" s="9"/>
      <c r="K46" s="9"/>
      <c r="L46" s="9">
        <v>0</v>
      </c>
      <c r="M46" s="9"/>
      <c r="N46" s="9">
        <f t="shared" si="7"/>
        <v>0</v>
      </c>
      <c r="O46" s="339"/>
      <c r="P46" s="339"/>
      <c r="Q46" s="339"/>
      <c r="R46" s="339"/>
    </row>
    <row r="47" spans="1:18" s="12" customFormat="1" ht="18" customHeight="1" hidden="1">
      <c r="A47" s="14"/>
      <c r="B47" s="337" t="s">
        <v>803</v>
      </c>
      <c r="C47" s="338"/>
      <c r="D47" s="9">
        <f t="shared" si="6"/>
        <v>0</v>
      </c>
      <c r="E47" s="9"/>
      <c r="F47" s="9"/>
      <c r="G47" s="9"/>
      <c r="H47" s="9">
        <v>0</v>
      </c>
      <c r="I47" s="9">
        <v>0</v>
      </c>
      <c r="J47" s="9"/>
      <c r="K47" s="9"/>
      <c r="L47" s="9">
        <v>0</v>
      </c>
      <c r="M47" s="9"/>
      <c r="N47" s="9">
        <f t="shared" si="7"/>
        <v>0</v>
      </c>
      <c r="O47" s="339"/>
      <c r="P47" s="339"/>
      <c r="Q47" s="339"/>
      <c r="R47" s="339"/>
    </row>
    <row r="48" spans="1:18" s="12" customFormat="1" ht="18" customHeight="1">
      <c r="A48" s="14"/>
      <c r="B48" s="337" t="s">
        <v>801</v>
      </c>
      <c r="C48" s="338"/>
      <c r="D48" s="9">
        <f t="shared" si="6"/>
        <v>19124166</v>
      </c>
      <c r="E48" s="9">
        <f>15124166+4000000</f>
        <v>19124166</v>
      </c>
      <c r="F48" s="9"/>
      <c r="G48" s="9"/>
      <c r="H48" s="9">
        <v>0</v>
      </c>
      <c r="I48" s="9">
        <v>0</v>
      </c>
      <c r="J48" s="9"/>
      <c r="K48" s="9"/>
      <c r="L48" s="9">
        <f>8474612+2000000+74135500</f>
        <v>84610112</v>
      </c>
      <c r="M48" s="9">
        <v>0</v>
      </c>
      <c r="N48" s="9">
        <f t="shared" si="7"/>
        <v>65485946</v>
      </c>
      <c r="O48" s="339"/>
      <c r="P48" s="339"/>
      <c r="Q48" s="339"/>
      <c r="R48" s="339"/>
    </row>
    <row r="49" spans="1:18" s="12" customFormat="1" ht="18" customHeight="1">
      <c r="A49" s="14"/>
      <c r="B49" s="337" t="s">
        <v>802</v>
      </c>
      <c r="C49" s="338"/>
      <c r="D49" s="9">
        <f t="shared" si="6"/>
        <v>8028014</v>
      </c>
      <c r="E49" s="9">
        <f>2676005+2676005+2676004</f>
        <v>8028014</v>
      </c>
      <c r="F49" s="9"/>
      <c r="G49" s="9"/>
      <c r="H49" s="9">
        <v>0</v>
      </c>
      <c r="I49" s="9">
        <v>0</v>
      </c>
      <c r="J49" s="9"/>
      <c r="K49" s="9"/>
      <c r="L49" s="9">
        <f>84090908+33227273</f>
        <v>117318181</v>
      </c>
      <c r="M49" s="9">
        <v>11731819</v>
      </c>
      <c r="N49" s="9">
        <f t="shared" si="7"/>
        <v>109290167</v>
      </c>
      <c r="O49" s="339"/>
      <c r="P49" s="339"/>
      <c r="Q49" s="339"/>
      <c r="R49" s="339"/>
    </row>
    <row r="50" spans="1:18" s="12" customFormat="1" ht="18" customHeight="1">
      <c r="A50" s="14"/>
      <c r="B50" s="337"/>
      <c r="C50" s="338"/>
      <c r="D50" s="9"/>
      <c r="E50" s="9"/>
      <c r="F50" s="9"/>
      <c r="G50" s="9"/>
      <c r="H50" s="9"/>
      <c r="I50" s="9"/>
      <c r="J50" s="9"/>
      <c r="K50" s="9"/>
      <c r="L50" s="9"/>
      <c r="M50" s="9"/>
      <c r="N50" s="9">
        <f t="shared" si="7"/>
        <v>0</v>
      </c>
      <c r="O50" s="339"/>
      <c r="P50" s="339"/>
      <c r="Q50" s="339"/>
      <c r="R50" s="339"/>
    </row>
    <row r="51" spans="1:18" s="12" customFormat="1" ht="19.5" customHeight="1">
      <c r="A51" s="15"/>
      <c r="B51" s="81" t="s">
        <v>169</v>
      </c>
      <c r="C51" s="340"/>
      <c r="D51" s="10">
        <f aca="true" t="shared" si="11" ref="D51:R51">D8+D32+D41</f>
        <v>291007258020</v>
      </c>
      <c r="E51" s="10">
        <f t="shared" si="11"/>
        <v>291007258020</v>
      </c>
      <c r="F51" s="10">
        <f t="shared" si="11"/>
        <v>0</v>
      </c>
      <c r="G51" s="10">
        <f t="shared" si="11"/>
        <v>0</v>
      </c>
      <c r="H51" s="10">
        <f t="shared" si="11"/>
        <v>4242256930</v>
      </c>
      <c r="I51" s="10">
        <f t="shared" si="11"/>
        <v>33085718438</v>
      </c>
      <c r="J51" s="10">
        <f t="shared" si="11"/>
        <v>0</v>
      </c>
      <c r="K51" s="10">
        <f t="shared" si="11"/>
        <v>0</v>
      </c>
      <c r="L51" s="10">
        <f t="shared" si="11"/>
        <v>493073055398</v>
      </c>
      <c r="M51" s="10">
        <f t="shared" si="11"/>
        <v>12667169879</v>
      </c>
      <c r="N51" s="144">
        <f t="shared" si="11"/>
        <v>164737822010</v>
      </c>
      <c r="O51" s="10">
        <f t="shared" si="11"/>
        <v>170822372150</v>
      </c>
      <c r="P51" s="10">
        <f t="shared" si="11"/>
        <v>277773352415</v>
      </c>
      <c r="Q51" s="10">
        <f t="shared" si="11"/>
        <v>2168736319</v>
      </c>
      <c r="R51" s="10">
        <f t="shared" si="11"/>
        <v>13065913135</v>
      </c>
    </row>
    <row r="52" spans="1:18" s="12" customFormat="1" ht="19.5" customHeight="1">
      <c r="A52" s="16"/>
      <c r="B52" s="16"/>
      <c r="C52" s="341"/>
      <c r="D52" s="17"/>
      <c r="E52" s="17"/>
      <c r="F52" s="17"/>
      <c r="G52" s="17"/>
      <c r="H52" s="17"/>
      <c r="I52" s="17"/>
      <c r="J52" s="17"/>
      <c r="K52" s="17"/>
      <c r="L52" s="17"/>
      <c r="M52" s="17"/>
      <c r="N52" s="133"/>
      <c r="O52" s="18"/>
      <c r="P52" s="18"/>
      <c r="Q52" s="18"/>
      <c r="R52" s="18"/>
    </row>
    <row r="53" spans="1:18" s="12" customFormat="1" ht="19.5" customHeight="1">
      <c r="A53" s="22"/>
      <c r="B53" s="22"/>
      <c r="C53" s="342"/>
      <c r="D53" s="24"/>
      <c r="E53" s="24"/>
      <c r="F53" s="24"/>
      <c r="G53" s="24"/>
      <c r="H53" s="24"/>
      <c r="I53" s="24"/>
      <c r="J53" s="24"/>
      <c r="K53" s="24"/>
      <c r="L53" s="24"/>
      <c r="M53" s="24"/>
      <c r="N53" s="363"/>
      <c r="O53" s="18"/>
      <c r="P53" s="18"/>
      <c r="Q53" s="18"/>
      <c r="R53" s="18"/>
    </row>
    <row r="54" spans="3:18" s="12" customFormat="1" ht="18">
      <c r="C54" s="343" t="s">
        <v>644</v>
      </c>
      <c r="D54" s="96"/>
      <c r="E54" s="18"/>
      <c r="F54" s="18"/>
      <c r="G54" s="96" t="s">
        <v>645</v>
      </c>
      <c r="H54" s="96" t="s">
        <v>645</v>
      </c>
      <c r="I54" s="80"/>
      <c r="J54" s="18"/>
      <c r="K54" s="18"/>
      <c r="L54" s="80"/>
      <c r="M54" s="80" t="s">
        <v>833</v>
      </c>
      <c r="N54" s="344"/>
      <c r="O54" s="18"/>
      <c r="P54" s="18"/>
      <c r="Q54" s="18"/>
      <c r="R54" s="18"/>
    </row>
    <row r="55" spans="3:18" s="12" customFormat="1" ht="17.25">
      <c r="C55" s="345"/>
      <c r="D55" s="18"/>
      <c r="E55" s="18"/>
      <c r="F55" s="18"/>
      <c r="G55" s="18"/>
      <c r="H55" s="18"/>
      <c r="I55" s="18"/>
      <c r="J55" s="18"/>
      <c r="K55" s="18"/>
      <c r="L55" s="18"/>
      <c r="M55" s="18"/>
      <c r="N55" s="346"/>
      <c r="O55" s="18"/>
      <c r="P55" s="18"/>
      <c r="Q55" s="18"/>
      <c r="R55" s="18"/>
    </row>
    <row r="56" spans="3:18" s="12" customFormat="1" ht="17.25">
      <c r="C56" s="345"/>
      <c r="D56" s="18"/>
      <c r="E56" s="18"/>
      <c r="F56" s="18"/>
      <c r="G56" s="18"/>
      <c r="H56" s="18"/>
      <c r="I56" s="18"/>
      <c r="J56" s="18"/>
      <c r="K56" s="18"/>
      <c r="L56" s="18"/>
      <c r="M56" s="18"/>
      <c r="N56" s="347"/>
      <c r="O56" s="18"/>
      <c r="P56" s="18"/>
      <c r="Q56" s="18"/>
      <c r="R56" s="18"/>
    </row>
    <row r="57" spans="1:14" ht="21">
      <c r="A57" s="12"/>
      <c r="B57" s="348"/>
      <c r="C57" s="349"/>
      <c r="D57" s="350"/>
      <c r="N57" s="352"/>
    </row>
    <row r="58" ht="17.25">
      <c r="C58" s="354" t="s">
        <v>1035</v>
      </c>
    </row>
  </sheetData>
  <sheetProtection/>
  <mergeCells count="7">
    <mergeCell ref="O6:O7"/>
    <mergeCell ref="O3:P3"/>
    <mergeCell ref="J5:K5"/>
    <mergeCell ref="A5:A7"/>
    <mergeCell ref="C5:C7"/>
    <mergeCell ref="D6:D7"/>
    <mergeCell ref="D5:G5"/>
  </mergeCells>
  <printOptions horizontalCentered="1"/>
  <pageMargins left="1" right="0" top="0" bottom="0" header="0" footer="0"/>
  <pageSetup horizontalDpi="180" verticalDpi="180" orientation="landscape" paperSize="9" scale="70" r:id="rId3"/>
  <legacyDrawing r:id="rId2"/>
</worksheet>
</file>

<file path=xl/worksheets/sheet3.xml><?xml version="1.0" encoding="utf-8"?>
<worksheet xmlns="http://schemas.openxmlformats.org/spreadsheetml/2006/main" xmlns:r="http://schemas.openxmlformats.org/officeDocument/2006/relationships">
  <dimension ref="A1:G34"/>
  <sheetViews>
    <sheetView zoomScale="75" zoomScaleNormal="75" zoomScalePageLayoutView="0" workbookViewId="0" topLeftCell="A1">
      <selection activeCell="E25" sqref="E25"/>
    </sheetView>
  </sheetViews>
  <sheetFormatPr defaultColWidth="8.796875" defaultRowHeight="15"/>
  <cols>
    <col min="1" max="1" width="56.69921875" style="12" customWidth="1"/>
    <col min="2" max="3" width="7" style="12" customWidth="1"/>
    <col min="4" max="4" width="18.59765625" style="12" customWidth="1"/>
    <col min="5" max="5" width="18.5" style="12" customWidth="1"/>
    <col min="6" max="6" width="18.59765625" style="12" customWidth="1"/>
    <col min="7" max="7" width="18.09765625" style="12" customWidth="1"/>
    <col min="8" max="16384" width="9" style="12" customWidth="1"/>
  </cols>
  <sheetData>
    <row r="1" spans="1:7" ht="18.75">
      <c r="A1" s="101" t="s">
        <v>675</v>
      </c>
      <c r="B1" s="101"/>
      <c r="C1" s="101"/>
      <c r="D1" s="101"/>
      <c r="E1" s="390" t="s">
        <v>263</v>
      </c>
      <c r="F1" s="390"/>
      <c r="G1" s="390"/>
    </row>
    <row r="2" spans="1:7" ht="18.75">
      <c r="A2" s="101" t="s">
        <v>513</v>
      </c>
      <c r="B2" s="101"/>
      <c r="C2" s="101"/>
      <c r="D2" s="101"/>
      <c r="E2" s="390" t="s">
        <v>260</v>
      </c>
      <c r="F2" s="390"/>
      <c r="G2" s="390"/>
    </row>
    <row r="3" spans="1:7" ht="18.75">
      <c r="A3" s="101" t="s">
        <v>261</v>
      </c>
      <c r="B3" s="101"/>
      <c r="C3" s="101"/>
      <c r="D3" s="101"/>
      <c r="E3" s="390" t="s">
        <v>258</v>
      </c>
      <c r="F3" s="390"/>
      <c r="G3" s="390"/>
    </row>
    <row r="4" spans="1:7" ht="18.75">
      <c r="A4" s="101"/>
      <c r="B4" s="101"/>
      <c r="C4" s="101"/>
      <c r="D4" s="101"/>
      <c r="E4" s="101"/>
      <c r="F4" s="217"/>
      <c r="G4" s="217"/>
    </row>
    <row r="5" spans="1:7" ht="26.25">
      <c r="A5" s="389" t="s">
        <v>1165</v>
      </c>
      <c r="B5" s="389"/>
      <c r="C5" s="389"/>
      <c r="D5" s="389"/>
      <c r="E5" s="389"/>
      <c r="F5" s="389"/>
      <c r="G5" s="389"/>
    </row>
    <row r="6" spans="1:7" ht="18.75">
      <c r="A6" s="388"/>
      <c r="B6" s="388"/>
      <c r="C6" s="388"/>
      <c r="D6" s="388"/>
      <c r="E6" s="388"/>
      <c r="G6" s="216" t="s">
        <v>864</v>
      </c>
    </row>
    <row r="7" spans="1:7" ht="18">
      <c r="A7" s="382" t="s">
        <v>101</v>
      </c>
      <c r="B7" s="382" t="s">
        <v>340</v>
      </c>
      <c r="C7" s="382" t="s">
        <v>627</v>
      </c>
      <c r="D7" s="395" t="s">
        <v>160</v>
      </c>
      <c r="E7" s="396"/>
      <c r="F7" s="392" t="s">
        <v>161</v>
      </c>
      <c r="G7" s="393"/>
    </row>
    <row r="8" spans="1:7" ht="18">
      <c r="A8" s="394"/>
      <c r="B8" s="394"/>
      <c r="C8" s="394"/>
      <c r="D8" s="1" t="s">
        <v>514</v>
      </c>
      <c r="E8" s="1" t="s">
        <v>515</v>
      </c>
      <c r="F8" s="270" t="s">
        <v>514</v>
      </c>
      <c r="G8" s="270" t="s">
        <v>515</v>
      </c>
    </row>
    <row r="9" spans="1:7" ht="20.25" customHeight="1">
      <c r="A9" s="3" t="s">
        <v>865</v>
      </c>
      <c r="B9" s="106" t="s">
        <v>361</v>
      </c>
      <c r="C9" s="13" t="s">
        <v>271</v>
      </c>
      <c r="D9" s="141">
        <f>E9-197785914826</f>
        <v>248565743192</v>
      </c>
      <c r="E9" s="141">
        <f>'BIEU 11-BANGTIEUTHU (R) '!L8</f>
        <v>446351658018</v>
      </c>
      <c r="F9" s="271">
        <f>G9-126457303942</f>
        <v>124382287261</v>
      </c>
      <c r="G9" s="271">
        <f>'BIEU 11-BANGTIEUTHU (R) '!P8</f>
        <v>250839591203</v>
      </c>
    </row>
    <row r="10" spans="1:7" ht="20.25" customHeight="1">
      <c r="A10" s="2" t="s">
        <v>266</v>
      </c>
      <c r="B10" s="107" t="s">
        <v>362</v>
      </c>
      <c r="C10" s="107"/>
      <c r="D10" s="8">
        <v>0</v>
      </c>
      <c r="E10" s="8">
        <v>0</v>
      </c>
      <c r="F10" s="164">
        <v>0</v>
      </c>
      <c r="G10" s="164">
        <v>0</v>
      </c>
    </row>
    <row r="11" spans="1:7" ht="20.25" customHeight="1">
      <c r="A11" s="2" t="s">
        <v>267</v>
      </c>
      <c r="B11" s="14">
        <v>10</v>
      </c>
      <c r="C11" s="14"/>
      <c r="D11" s="8">
        <f>D9-D10</f>
        <v>248565743192</v>
      </c>
      <c r="E11" s="8">
        <f>E9-E10</f>
        <v>446351658018</v>
      </c>
      <c r="F11" s="164">
        <f>F9-F10</f>
        <v>124382287261</v>
      </c>
      <c r="G11" s="164">
        <f>G9-G10</f>
        <v>250839591203</v>
      </c>
    </row>
    <row r="12" spans="1:7" ht="20.25" customHeight="1">
      <c r="A12" s="2" t="s">
        <v>866</v>
      </c>
      <c r="B12" s="14">
        <v>11</v>
      </c>
      <c r="C12" s="14" t="s">
        <v>272</v>
      </c>
      <c r="D12" s="8">
        <f>E12-125700203540</f>
        <v>153603223903</v>
      </c>
      <c r="E12" s="8">
        <f>'BIEU 11-BANGTIEUTHU (R) '!E8</f>
        <v>279303427443</v>
      </c>
      <c r="F12" s="164">
        <f>G12-77762263104</f>
        <v>82350304142</v>
      </c>
      <c r="G12" s="164">
        <f>'BIEU 11-BANGTIEUTHU (R) '!O8</f>
        <v>160112567246</v>
      </c>
    </row>
    <row r="13" spans="1:7" ht="20.25" customHeight="1">
      <c r="A13" s="2" t="s">
        <v>867</v>
      </c>
      <c r="B13" s="14">
        <v>20</v>
      </c>
      <c r="C13" s="14"/>
      <c r="D13" s="8">
        <f>D11-D12</f>
        <v>94962519289</v>
      </c>
      <c r="E13" s="8">
        <f>E11-E12</f>
        <v>167048230575</v>
      </c>
      <c r="F13" s="164">
        <f>F11-F12</f>
        <v>42031983119</v>
      </c>
      <c r="G13" s="164">
        <f>G11-G12</f>
        <v>90727023957</v>
      </c>
    </row>
    <row r="14" spans="1:7" ht="20.25" customHeight="1">
      <c r="A14" s="2" t="s">
        <v>868</v>
      </c>
      <c r="B14" s="14">
        <v>21</v>
      </c>
      <c r="C14" s="14" t="s">
        <v>274</v>
      </c>
      <c r="D14" s="8">
        <f>E14-18239615217</f>
        <v>5782937228</v>
      </c>
      <c r="E14" s="8">
        <f>'BIEU 11-BANGTIEUTHU (R) '!L32</f>
        <v>24022552445</v>
      </c>
      <c r="F14" s="164">
        <f>G14-3102168265</f>
        <v>763370600</v>
      </c>
      <c r="G14" s="164">
        <f>'BIEU 11-BANGTIEUTHU (R) '!P32</f>
        <v>3865538865</v>
      </c>
    </row>
    <row r="15" spans="1:7" ht="20.25" customHeight="1">
      <c r="A15" s="2" t="s">
        <v>869</v>
      </c>
      <c r="B15" s="14">
        <v>22</v>
      </c>
      <c r="C15" s="14" t="s">
        <v>273</v>
      </c>
      <c r="D15" s="8">
        <f>E15-2058890625</f>
        <v>0</v>
      </c>
      <c r="E15" s="8">
        <f>'BIEU 11-BANGTIEUTHU (R) '!E32</f>
        <v>2058890625</v>
      </c>
      <c r="F15" s="164">
        <f>G15-1410427343</f>
        <v>619284353</v>
      </c>
      <c r="G15" s="164">
        <f>'BIEU 11-BANGTIEUTHU (R) '!O32</f>
        <v>2029711696</v>
      </c>
    </row>
    <row r="16" spans="1:7" s="75" customFormat="1" ht="20.25" customHeight="1">
      <c r="A16" s="77" t="s">
        <v>870</v>
      </c>
      <c r="B16" s="79">
        <v>23</v>
      </c>
      <c r="C16" s="79"/>
      <c r="D16" s="9">
        <f>E16-2058890625</f>
        <v>0</v>
      </c>
      <c r="E16" s="9">
        <f>E15</f>
        <v>2058890625</v>
      </c>
      <c r="F16" s="237">
        <f>G16-1410427343</f>
        <v>619284353</v>
      </c>
      <c r="G16" s="237">
        <f>G15</f>
        <v>2029711696</v>
      </c>
    </row>
    <row r="17" spans="1:7" ht="20.25" customHeight="1">
      <c r="A17" s="2" t="s">
        <v>871</v>
      </c>
      <c r="B17" s="14">
        <v>24</v>
      </c>
      <c r="C17" s="14"/>
      <c r="D17" s="8">
        <f>E17-2106914393</f>
        <v>2135342537</v>
      </c>
      <c r="E17" s="8">
        <f>'BIEU 11-BANGTIEUTHU (R) '!H8</f>
        <v>4242256930</v>
      </c>
      <c r="F17" s="164">
        <f>G17-1185326548</f>
        <v>983409771</v>
      </c>
      <c r="G17" s="164">
        <f>'BIEU 11-BANGTIEUTHU (R) '!Q8</f>
        <v>2168736319</v>
      </c>
    </row>
    <row r="18" spans="1:7" ht="20.25" customHeight="1">
      <c r="A18" s="2" t="s">
        <v>872</v>
      </c>
      <c r="B18" s="14">
        <v>25</v>
      </c>
      <c r="C18" s="14"/>
      <c r="D18" s="8">
        <f>E18-10445093892</f>
        <v>22640624546</v>
      </c>
      <c r="E18" s="8">
        <f>'BIEU 11-BANGTIEUTHU (R) '!I8</f>
        <v>33085718438</v>
      </c>
      <c r="F18" s="164">
        <f>G18-7636677916</f>
        <v>5429235219</v>
      </c>
      <c r="G18" s="164">
        <f>'BIEU 11-BANGTIEUTHU (R) '!R8</f>
        <v>13065913135</v>
      </c>
    </row>
    <row r="19" spans="1:7" ht="20.25" customHeight="1">
      <c r="A19" s="2" t="s">
        <v>873</v>
      </c>
      <c r="B19" s="14">
        <v>30</v>
      </c>
      <c r="C19" s="14"/>
      <c r="D19" s="8">
        <f>D13+(D14-D15)-(D17+D18)</f>
        <v>75969489434</v>
      </c>
      <c r="E19" s="8">
        <f>E13+(E14-E15)-(E17+E18)</f>
        <v>151683917027</v>
      </c>
      <c r="F19" s="164">
        <f>F13+(F14-F15)-(F17+F18)</f>
        <v>35763424376</v>
      </c>
      <c r="G19" s="164">
        <f>G13+(G14-G15)-(G17+G18)</f>
        <v>77328201672</v>
      </c>
    </row>
    <row r="20" spans="1:7" ht="20.25" customHeight="1">
      <c r="A20" s="2" t="s">
        <v>874</v>
      </c>
      <c r="B20" s="14">
        <v>31</v>
      </c>
      <c r="C20" s="14"/>
      <c r="D20" s="8">
        <f>E20-21358845917</f>
        <v>1339999018</v>
      </c>
      <c r="E20" s="8">
        <f>'BIEU 11-BANGTIEUTHU (R) '!L41</f>
        <v>22698844935</v>
      </c>
      <c r="F20" s="164">
        <f>G20-11640878832</f>
        <v>11427343515</v>
      </c>
      <c r="G20" s="164">
        <f>'BIEU 11-BANGTIEUTHU (R) '!P41</f>
        <v>23068222347</v>
      </c>
    </row>
    <row r="21" spans="1:7" ht="20.25" customHeight="1">
      <c r="A21" s="2" t="s">
        <v>875</v>
      </c>
      <c r="B21" s="14">
        <v>32</v>
      </c>
      <c r="C21" s="14"/>
      <c r="D21" s="8">
        <f>E21-9552652927</f>
        <v>92287025</v>
      </c>
      <c r="E21" s="8">
        <f>'BIEU 11-BANGTIEUTHU (R) '!E41</f>
        <v>9644939952</v>
      </c>
      <c r="F21" s="164">
        <f>G21-6061872370</f>
        <v>2618220838</v>
      </c>
      <c r="G21" s="164">
        <f>'BIEU 11-BANGTIEUTHU (R) '!O41</f>
        <v>8680093208</v>
      </c>
    </row>
    <row r="22" spans="1:7" ht="20.25" customHeight="1">
      <c r="A22" s="2" t="s">
        <v>876</v>
      </c>
      <c r="B22" s="14">
        <v>40</v>
      </c>
      <c r="C22" s="14"/>
      <c r="D22" s="8">
        <f>D20-D21</f>
        <v>1247711993</v>
      </c>
      <c r="E22" s="8">
        <f>E20-E21</f>
        <v>13053904983</v>
      </c>
      <c r="F22" s="164">
        <f>F20-F21</f>
        <v>8809122677</v>
      </c>
      <c r="G22" s="164">
        <f>G20-G21</f>
        <v>14388129139</v>
      </c>
    </row>
    <row r="23" spans="1:7" ht="20.25" customHeight="1">
      <c r="A23" s="2" t="s">
        <v>877</v>
      </c>
      <c r="B23" s="14">
        <v>50</v>
      </c>
      <c r="C23" s="14"/>
      <c r="D23" s="8">
        <f>D19+D22</f>
        <v>77217201427</v>
      </c>
      <c r="E23" s="8">
        <f>E19+E22</f>
        <v>164737822010</v>
      </c>
      <c r="F23" s="164">
        <f>F19+F22</f>
        <v>44572547053</v>
      </c>
      <c r="G23" s="164">
        <f>G19+G22</f>
        <v>91716330811</v>
      </c>
    </row>
    <row r="24" spans="1:7" ht="20.25" customHeight="1">
      <c r="A24" s="2" t="s">
        <v>516</v>
      </c>
      <c r="B24" s="14">
        <v>51</v>
      </c>
      <c r="C24" s="14" t="s">
        <v>275</v>
      </c>
      <c r="D24" s="8">
        <f>E24-11236264551</f>
        <v>7008938439</v>
      </c>
      <c r="E24" s="8">
        <v>18245202990</v>
      </c>
      <c r="F24" s="164">
        <v>0</v>
      </c>
      <c r="G24" s="164">
        <v>0</v>
      </c>
    </row>
    <row r="25" spans="1:7" ht="20.25" customHeight="1">
      <c r="A25" s="2" t="s">
        <v>268</v>
      </c>
      <c r="B25" s="14">
        <v>52</v>
      </c>
      <c r="C25" s="14" t="s">
        <v>276</v>
      </c>
      <c r="D25" s="8">
        <v>0</v>
      </c>
      <c r="E25" s="8">
        <v>0</v>
      </c>
      <c r="F25" s="164">
        <v>0</v>
      </c>
      <c r="G25" s="164">
        <v>0</v>
      </c>
    </row>
    <row r="26" spans="1:7" ht="20.25" customHeight="1">
      <c r="A26" s="2" t="s">
        <v>269</v>
      </c>
      <c r="B26" s="14">
        <v>60</v>
      </c>
      <c r="C26" s="14"/>
      <c r="D26" s="8">
        <f>D23-D24-D25</f>
        <v>70208262988</v>
      </c>
      <c r="E26" s="8">
        <f>E23-E24-E25</f>
        <v>146492619020</v>
      </c>
      <c r="F26" s="164">
        <f>F23-F24-F25</f>
        <v>44572547053</v>
      </c>
      <c r="G26" s="164">
        <f>G23-G24-G25</f>
        <v>91716330811</v>
      </c>
    </row>
    <row r="27" spans="1:7" ht="20.25" customHeight="1">
      <c r="A27" s="137" t="s">
        <v>270</v>
      </c>
      <c r="B27" s="58">
        <v>70</v>
      </c>
      <c r="C27" s="58"/>
      <c r="D27" s="17">
        <f>D26/30000000</f>
        <v>2340.2754329333334</v>
      </c>
      <c r="E27" s="17">
        <f>E26/30000000</f>
        <v>4883.087300666667</v>
      </c>
      <c r="F27" s="272">
        <f>F26/30000000</f>
        <v>1485.7515684333334</v>
      </c>
      <c r="G27" s="272">
        <f>G26/30000000</f>
        <v>3057.2110270333333</v>
      </c>
    </row>
    <row r="28" spans="1:7" ht="20.25" customHeight="1">
      <c r="A28" s="45"/>
      <c r="B28" s="214"/>
      <c r="C28" s="214"/>
      <c r="D28" s="159"/>
      <c r="E28" s="159"/>
      <c r="F28" s="159"/>
      <c r="G28" s="159"/>
    </row>
    <row r="29" spans="1:7" s="6" customFormat="1" ht="24" customHeight="1">
      <c r="A29" s="232" t="s">
        <v>603</v>
      </c>
      <c r="C29" s="223" t="s">
        <v>604</v>
      </c>
      <c r="E29" s="391" t="s">
        <v>771</v>
      </c>
      <c r="F29" s="391"/>
      <c r="G29" s="391"/>
    </row>
    <row r="31" spans="4:7" ht="17.25">
      <c r="D31" s="150"/>
      <c r="E31" s="150"/>
      <c r="F31" s="18"/>
      <c r="G31" s="18"/>
    </row>
    <row r="32" spans="4:7" ht="17.25">
      <c r="D32" s="150"/>
      <c r="E32" s="150"/>
      <c r="F32" s="18"/>
      <c r="G32" s="18"/>
    </row>
    <row r="33" spans="4:7" ht="17.25">
      <c r="D33" s="18"/>
      <c r="E33" s="18"/>
      <c r="F33" s="18"/>
      <c r="G33" s="222"/>
    </row>
    <row r="34" spans="1:7" ht="18">
      <c r="A34" s="231" t="s">
        <v>598</v>
      </c>
      <c r="D34" s="80"/>
      <c r="E34" s="80"/>
      <c r="F34" s="80"/>
      <c r="G34" s="18"/>
    </row>
  </sheetData>
  <sheetProtection/>
  <mergeCells count="11">
    <mergeCell ref="D7:E7"/>
    <mergeCell ref="A6:E6"/>
    <mergeCell ref="A5:G5"/>
    <mergeCell ref="E1:G1"/>
    <mergeCell ref="E2:G2"/>
    <mergeCell ref="E3:G3"/>
    <mergeCell ref="E29:G29"/>
    <mergeCell ref="F7:G7"/>
    <mergeCell ref="A7:A8"/>
    <mergeCell ref="B7:B8"/>
    <mergeCell ref="C7:C8"/>
  </mergeCells>
  <printOptions horizontalCentered="1"/>
  <pageMargins left="0.75" right="0" top="0.5" bottom="0" header="0" footer="0"/>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O308"/>
  <sheetViews>
    <sheetView zoomScale="75" zoomScaleNormal="75" zoomScalePageLayoutView="0" workbookViewId="0" topLeftCell="A271">
      <selection activeCell="N194" sqref="N194"/>
    </sheetView>
  </sheetViews>
  <sheetFormatPr defaultColWidth="8.796875" defaultRowHeight="15"/>
  <cols>
    <col min="1" max="1" width="6" style="22" customWidth="1"/>
    <col min="2" max="2" width="9.09765625" style="22" customWidth="1"/>
    <col min="3" max="3" width="39.3984375" style="22" customWidth="1"/>
    <col min="4" max="4" width="16" style="22" customWidth="1"/>
    <col min="5" max="5" width="0.6953125" style="22" customWidth="1"/>
    <col min="6" max="6" width="16" style="22" customWidth="1"/>
    <col min="7" max="7" width="0.6953125" style="22" customWidth="1"/>
    <col min="8" max="8" width="16.5" style="73" customWidth="1"/>
    <col min="9" max="9" width="0.6953125" style="73" customWidth="1"/>
    <col min="10" max="10" width="16.5" style="73" customWidth="1"/>
    <col min="11" max="11" width="0.6953125" style="22" customWidth="1"/>
    <col min="12" max="12" width="16.5" style="22" customWidth="1"/>
    <col min="13" max="13" width="0.6953125" style="22" customWidth="1"/>
    <col min="14" max="14" width="16.8984375" style="22" customWidth="1"/>
    <col min="15" max="15" width="0.8984375" style="22" customWidth="1"/>
    <col min="16" max="16384" width="9" style="22" customWidth="1"/>
  </cols>
  <sheetData>
    <row r="1" spans="1:14" s="110" customFormat="1" ht="15">
      <c r="A1" s="109" t="s">
        <v>675</v>
      </c>
      <c r="H1" s="73"/>
      <c r="I1" s="73"/>
      <c r="J1" s="73"/>
      <c r="N1" s="239" t="s">
        <v>666</v>
      </c>
    </row>
    <row r="2" spans="1:10" s="110" customFormat="1" ht="15">
      <c r="A2" s="101" t="s">
        <v>632</v>
      </c>
      <c r="H2" s="73"/>
      <c r="I2" s="73"/>
      <c r="J2" s="73"/>
    </row>
    <row r="3" spans="1:15" s="110" customFormat="1" ht="23.25">
      <c r="A3" s="123" t="s">
        <v>1169</v>
      </c>
      <c r="B3" s="124"/>
      <c r="C3" s="124"/>
      <c r="D3" s="124"/>
      <c r="E3" s="124"/>
      <c r="F3" s="124"/>
      <c r="G3" s="124"/>
      <c r="H3" s="251"/>
      <c r="I3" s="251"/>
      <c r="J3" s="251"/>
      <c r="K3" s="124"/>
      <c r="L3" s="124"/>
      <c r="M3" s="124"/>
      <c r="N3" s="124"/>
      <c r="O3" s="124"/>
    </row>
    <row r="4" spans="1:15" ht="18">
      <c r="A4" s="397"/>
      <c r="B4" s="397"/>
      <c r="C4" s="397"/>
      <c r="D4" s="397"/>
      <c r="E4" s="397"/>
      <c r="F4" s="397"/>
      <c r="G4" s="397"/>
      <c r="H4" s="397"/>
      <c r="I4" s="397"/>
      <c r="J4" s="397"/>
      <c r="K4" s="397"/>
      <c r="L4" s="397"/>
      <c r="M4" s="397"/>
      <c r="N4" s="397"/>
      <c r="O4" s="397"/>
    </row>
    <row r="5" spans="1:15" ht="20.25" customHeight="1">
      <c r="A5" s="398" t="s">
        <v>466</v>
      </c>
      <c r="B5" s="399"/>
      <c r="C5" s="382" t="s">
        <v>646</v>
      </c>
      <c r="D5" s="32" t="s">
        <v>248</v>
      </c>
      <c r="E5" s="33"/>
      <c r="F5" s="33"/>
      <c r="G5" s="34"/>
      <c r="H5" s="32" t="s">
        <v>249</v>
      </c>
      <c r="I5" s="33"/>
      <c r="J5" s="33"/>
      <c r="K5" s="34"/>
      <c r="L5" s="32" t="s">
        <v>250</v>
      </c>
      <c r="M5" s="35"/>
      <c r="N5" s="35"/>
      <c r="O5" s="36"/>
    </row>
    <row r="6" spans="1:15" ht="15.75">
      <c r="A6" s="68" t="s">
        <v>470</v>
      </c>
      <c r="B6" s="68" t="s">
        <v>471</v>
      </c>
      <c r="C6" s="384"/>
      <c r="D6" s="32" t="s">
        <v>251</v>
      </c>
      <c r="E6" s="36"/>
      <c r="F6" s="32" t="s">
        <v>252</v>
      </c>
      <c r="G6" s="34"/>
      <c r="H6" s="32" t="s">
        <v>251</v>
      </c>
      <c r="I6" s="36"/>
      <c r="J6" s="32" t="s">
        <v>252</v>
      </c>
      <c r="K6" s="34"/>
      <c r="L6" s="32" t="s">
        <v>251</v>
      </c>
      <c r="M6" s="36"/>
      <c r="N6" s="32" t="s">
        <v>252</v>
      </c>
      <c r="O6" s="34"/>
    </row>
    <row r="7" spans="1:15" ht="15.75">
      <c r="A7" s="37"/>
      <c r="B7" s="37"/>
      <c r="C7" s="3" t="s">
        <v>474</v>
      </c>
      <c r="D7" s="37"/>
      <c r="E7" s="38"/>
      <c r="F7" s="108"/>
      <c r="G7" s="38"/>
      <c r="H7" s="37"/>
      <c r="I7" s="38"/>
      <c r="J7" s="37"/>
      <c r="K7" s="38"/>
      <c r="L7" s="37"/>
      <c r="M7" s="38"/>
      <c r="N7" s="37"/>
      <c r="O7" s="38"/>
    </row>
    <row r="8" spans="1:15" ht="15.75">
      <c r="A8" s="40">
        <v>111</v>
      </c>
      <c r="B8" s="20"/>
      <c r="C8" s="2" t="s">
        <v>253</v>
      </c>
      <c r="D8" s="28">
        <f>SUM(D9:D11)</f>
        <v>448328810</v>
      </c>
      <c r="E8" s="39"/>
      <c r="F8" s="20"/>
      <c r="G8" s="39"/>
      <c r="H8" s="28">
        <f>SUM(H9:H11)</f>
        <v>197325892976</v>
      </c>
      <c r="I8" s="41"/>
      <c r="J8" s="28">
        <f>SUM(J9:J11)</f>
        <v>197029936514</v>
      </c>
      <c r="K8" s="226"/>
      <c r="L8" s="260">
        <f>SUM(L9:L11)</f>
        <v>744285272</v>
      </c>
      <c r="M8" s="257"/>
      <c r="N8" s="258"/>
      <c r="O8" s="39"/>
    </row>
    <row r="9" spans="1:15" ht="15">
      <c r="A9" s="20"/>
      <c r="B9" s="42">
        <v>1111</v>
      </c>
      <c r="C9" s="15" t="s">
        <v>760</v>
      </c>
      <c r="D9" s="19">
        <v>372208735</v>
      </c>
      <c r="E9" s="39"/>
      <c r="F9" s="20"/>
      <c r="G9" s="39"/>
      <c r="H9" s="19">
        <v>196795011641</v>
      </c>
      <c r="I9" s="39"/>
      <c r="J9" s="19">
        <v>196636198652</v>
      </c>
      <c r="K9" s="147"/>
      <c r="L9" s="238">
        <f>H9+D9-J9</f>
        <v>531021724</v>
      </c>
      <c r="M9" s="257"/>
      <c r="N9" s="258"/>
      <c r="O9" s="39"/>
    </row>
    <row r="10" spans="1:15" ht="15">
      <c r="A10" s="20"/>
      <c r="B10" s="42">
        <v>1112</v>
      </c>
      <c r="C10" s="15" t="s">
        <v>836</v>
      </c>
      <c r="D10" s="19">
        <v>76120075</v>
      </c>
      <c r="E10" s="39"/>
      <c r="F10" s="20"/>
      <c r="G10" s="39"/>
      <c r="H10" s="19">
        <v>530881335</v>
      </c>
      <c r="I10" s="39"/>
      <c r="J10" s="19">
        <v>393737862</v>
      </c>
      <c r="K10" s="147"/>
      <c r="L10" s="238">
        <f>H10+D10-J10</f>
        <v>213263548</v>
      </c>
      <c r="M10" s="257"/>
      <c r="N10" s="258"/>
      <c r="O10" s="39"/>
    </row>
    <row r="11" spans="1:15" ht="17.25" hidden="1">
      <c r="A11" s="20"/>
      <c r="B11" s="42">
        <v>1113</v>
      </c>
      <c r="C11" s="15" t="s">
        <v>761</v>
      </c>
      <c r="D11" s="19">
        <v>0</v>
      </c>
      <c r="E11" s="39"/>
      <c r="F11" s="20"/>
      <c r="G11" s="39"/>
      <c r="H11" s="19">
        <v>0</v>
      </c>
      <c r="I11" s="39"/>
      <c r="J11" s="19">
        <v>0</v>
      </c>
      <c r="K11" s="147"/>
      <c r="L11" s="238">
        <f>H11+D11-J11</f>
        <v>0</v>
      </c>
      <c r="M11" s="257"/>
      <c r="N11" s="258"/>
      <c r="O11" s="39"/>
    </row>
    <row r="12" spans="1:15" ht="15">
      <c r="A12" s="20"/>
      <c r="B12" s="20"/>
      <c r="C12" s="15"/>
      <c r="D12" s="20"/>
      <c r="E12" s="39"/>
      <c r="F12" s="20"/>
      <c r="G12" s="39"/>
      <c r="H12" s="20"/>
      <c r="I12" s="39"/>
      <c r="J12" s="20"/>
      <c r="K12" s="147"/>
      <c r="L12" s="258"/>
      <c r="M12" s="257"/>
      <c r="N12" s="258"/>
      <c r="O12" s="39"/>
    </row>
    <row r="13" spans="1:15" ht="15.75">
      <c r="A13" s="40">
        <v>112</v>
      </c>
      <c r="B13" s="20"/>
      <c r="C13" s="2" t="s">
        <v>255</v>
      </c>
      <c r="D13" s="28">
        <f>SUM(D14:D15)</f>
        <v>10035737649</v>
      </c>
      <c r="E13" s="39"/>
      <c r="F13" s="20"/>
      <c r="G13" s="39"/>
      <c r="H13" s="28">
        <f>SUM(H14:H15)</f>
        <v>1358586452874</v>
      </c>
      <c r="I13" s="41"/>
      <c r="J13" s="28">
        <f>SUM(J14:J15)</f>
        <v>1101613156664</v>
      </c>
      <c r="K13" s="226"/>
      <c r="L13" s="260">
        <f>SUM(L14:L15)</f>
        <v>267009033859</v>
      </c>
      <c r="M13" s="257"/>
      <c r="N13" s="258"/>
      <c r="O13" s="39"/>
    </row>
    <row r="14" spans="1:15" ht="15.75">
      <c r="A14" s="40"/>
      <c r="B14" s="42">
        <v>1121</v>
      </c>
      <c r="C14" s="15" t="s">
        <v>760</v>
      </c>
      <c r="D14" s="19">
        <v>10019810527</v>
      </c>
      <c r="E14" s="39"/>
      <c r="F14" s="20"/>
      <c r="G14" s="39"/>
      <c r="H14" s="19">
        <v>1028090257129</v>
      </c>
      <c r="I14" s="39"/>
      <c r="J14" s="19">
        <v>849530035463</v>
      </c>
      <c r="K14" s="226"/>
      <c r="L14" s="238">
        <f aca="true" t="shared" si="0" ref="L14:L36">D14+H14-J14</f>
        <v>188580032193</v>
      </c>
      <c r="M14" s="257"/>
      <c r="N14" s="258"/>
      <c r="O14" s="39"/>
    </row>
    <row r="15" spans="1:15" ht="15.75">
      <c r="A15" s="40"/>
      <c r="B15" s="42">
        <v>1122</v>
      </c>
      <c r="C15" s="15" t="s">
        <v>837</v>
      </c>
      <c r="D15" s="254">
        <v>15927122</v>
      </c>
      <c r="E15" s="255"/>
      <c r="F15" s="256"/>
      <c r="G15" s="255"/>
      <c r="H15" s="19">
        <v>330496195745</v>
      </c>
      <c r="I15" s="39"/>
      <c r="J15" s="19">
        <v>252083121201</v>
      </c>
      <c r="K15" s="226"/>
      <c r="L15" s="238">
        <f t="shared" si="0"/>
        <v>78429001666</v>
      </c>
      <c r="M15" s="257"/>
      <c r="N15" s="258"/>
      <c r="O15" s="39"/>
    </row>
    <row r="16" spans="1:15" ht="17.25" hidden="1">
      <c r="A16" s="20"/>
      <c r="B16" s="225">
        <v>112111</v>
      </c>
      <c r="C16" s="15" t="s">
        <v>176</v>
      </c>
      <c r="D16" s="19"/>
      <c r="E16" s="39"/>
      <c r="F16" s="20"/>
      <c r="G16" s="39"/>
      <c r="H16" s="19"/>
      <c r="I16" s="43"/>
      <c r="J16" s="19"/>
      <c r="K16" s="147"/>
      <c r="L16" s="238">
        <f t="shared" si="0"/>
        <v>0</v>
      </c>
      <c r="M16" s="257"/>
      <c r="N16" s="258"/>
      <c r="O16" s="39"/>
    </row>
    <row r="17" spans="1:15" ht="17.25" hidden="1">
      <c r="A17" s="20"/>
      <c r="B17" s="225">
        <v>112112</v>
      </c>
      <c r="C17" s="15" t="s">
        <v>177</v>
      </c>
      <c r="D17" s="19"/>
      <c r="E17" s="39"/>
      <c r="F17" s="20"/>
      <c r="G17" s="39"/>
      <c r="H17" s="19"/>
      <c r="I17" s="43"/>
      <c r="J17" s="19"/>
      <c r="K17" s="147"/>
      <c r="L17" s="238">
        <f t="shared" si="0"/>
        <v>0</v>
      </c>
      <c r="M17" s="257"/>
      <c r="N17" s="258"/>
      <c r="O17" s="39"/>
    </row>
    <row r="18" spans="1:15" ht="17.25" hidden="1">
      <c r="A18" s="20"/>
      <c r="B18" s="225">
        <v>112113</v>
      </c>
      <c r="C18" s="15" t="s">
        <v>985</v>
      </c>
      <c r="D18" s="19"/>
      <c r="E18" s="39"/>
      <c r="F18" s="20"/>
      <c r="G18" s="39"/>
      <c r="H18" s="19"/>
      <c r="I18" s="43"/>
      <c r="J18" s="19"/>
      <c r="K18" s="147"/>
      <c r="L18" s="238">
        <f t="shared" si="0"/>
        <v>0</v>
      </c>
      <c r="M18" s="257"/>
      <c r="N18" s="258"/>
      <c r="O18" s="39"/>
    </row>
    <row r="19" spans="1:15" ht="17.25" hidden="1">
      <c r="A19" s="20"/>
      <c r="B19" s="225">
        <v>112121</v>
      </c>
      <c r="C19" s="15" t="s">
        <v>178</v>
      </c>
      <c r="D19" s="19"/>
      <c r="E19" s="39"/>
      <c r="F19" s="20"/>
      <c r="G19" s="39"/>
      <c r="H19" s="19"/>
      <c r="I19" s="43"/>
      <c r="J19" s="19"/>
      <c r="K19" s="147"/>
      <c r="L19" s="238">
        <f t="shared" si="0"/>
        <v>0</v>
      </c>
      <c r="M19" s="257"/>
      <c r="N19" s="258"/>
      <c r="O19" s="39"/>
    </row>
    <row r="20" spans="1:15" ht="17.25" hidden="1">
      <c r="A20" s="20"/>
      <c r="B20" s="225">
        <v>112122</v>
      </c>
      <c r="C20" s="15" t="s">
        <v>986</v>
      </c>
      <c r="D20" s="19"/>
      <c r="E20" s="39"/>
      <c r="F20" s="20"/>
      <c r="G20" s="39"/>
      <c r="H20" s="19"/>
      <c r="I20" s="43"/>
      <c r="J20" s="19"/>
      <c r="K20" s="147"/>
      <c r="L20" s="238">
        <f t="shared" si="0"/>
        <v>0</v>
      </c>
      <c r="M20" s="257"/>
      <c r="N20" s="258"/>
      <c r="O20" s="39"/>
    </row>
    <row r="21" spans="1:15" ht="17.25" hidden="1">
      <c r="A21" s="20"/>
      <c r="B21" s="225">
        <v>11213</v>
      </c>
      <c r="C21" s="15" t="s">
        <v>179</v>
      </c>
      <c r="D21" s="19"/>
      <c r="E21" s="39"/>
      <c r="F21" s="20"/>
      <c r="G21" s="39"/>
      <c r="H21" s="19"/>
      <c r="I21" s="43"/>
      <c r="J21" s="19"/>
      <c r="K21" s="147"/>
      <c r="L21" s="238">
        <f t="shared" si="0"/>
        <v>0</v>
      </c>
      <c r="M21" s="257"/>
      <c r="N21" s="258"/>
      <c r="O21" s="39"/>
    </row>
    <row r="22" spans="1:15" ht="17.25" hidden="1">
      <c r="A22" s="20"/>
      <c r="B22" s="225">
        <v>112141</v>
      </c>
      <c r="C22" s="15" t="s">
        <v>180</v>
      </c>
      <c r="D22" s="19"/>
      <c r="E22" s="39"/>
      <c r="F22" s="20"/>
      <c r="G22" s="39"/>
      <c r="H22" s="19"/>
      <c r="I22" s="43"/>
      <c r="J22" s="19"/>
      <c r="K22" s="147"/>
      <c r="L22" s="238">
        <f t="shared" si="0"/>
        <v>0</v>
      </c>
      <c r="M22" s="257"/>
      <c r="N22" s="258"/>
      <c r="O22" s="39"/>
    </row>
    <row r="23" spans="1:15" ht="17.25" hidden="1">
      <c r="A23" s="20"/>
      <c r="B23" s="225">
        <v>112142</v>
      </c>
      <c r="C23" s="15" t="s">
        <v>181</v>
      </c>
      <c r="D23" s="19"/>
      <c r="E23" s="39"/>
      <c r="F23" s="20"/>
      <c r="G23" s="39"/>
      <c r="H23" s="19"/>
      <c r="I23" s="43"/>
      <c r="J23" s="19"/>
      <c r="K23" s="147"/>
      <c r="L23" s="238">
        <f t="shared" si="0"/>
        <v>0</v>
      </c>
      <c r="M23" s="257"/>
      <c r="N23" s="258"/>
      <c r="O23" s="39"/>
    </row>
    <row r="24" spans="1:15" ht="17.25" hidden="1">
      <c r="A24" s="20"/>
      <c r="B24" s="225">
        <v>11215</v>
      </c>
      <c r="C24" s="15" t="s">
        <v>84</v>
      </c>
      <c r="D24" s="19"/>
      <c r="E24" s="39"/>
      <c r="F24" s="20"/>
      <c r="G24" s="39"/>
      <c r="H24" s="19"/>
      <c r="I24" s="43"/>
      <c r="J24" s="19"/>
      <c r="K24" s="147"/>
      <c r="L24" s="238">
        <f t="shared" si="0"/>
        <v>0</v>
      </c>
      <c r="M24" s="257"/>
      <c r="N24" s="258"/>
      <c r="O24" s="39"/>
    </row>
    <row r="25" spans="1:15" ht="17.25" hidden="1">
      <c r="A25" s="20"/>
      <c r="B25" s="225">
        <v>11216</v>
      </c>
      <c r="C25" s="15" t="s">
        <v>85</v>
      </c>
      <c r="D25" s="19"/>
      <c r="E25" s="39"/>
      <c r="F25" s="20"/>
      <c r="G25" s="39"/>
      <c r="H25" s="19"/>
      <c r="I25" s="43"/>
      <c r="J25" s="19"/>
      <c r="K25" s="147"/>
      <c r="L25" s="238">
        <f t="shared" si="0"/>
        <v>0</v>
      </c>
      <c r="M25" s="257"/>
      <c r="N25" s="258"/>
      <c r="O25" s="39"/>
    </row>
    <row r="26" spans="1:15" ht="17.25" hidden="1">
      <c r="A26" s="20"/>
      <c r="B26" s="225">
        <v>11217</v>
      </c>
      <c r="C26" s="15" t="s">
        <v>153</v>
      </c>
      <c r="D26" s="19"/>
      <c r="E26" s="39"/>
      <c r="F26" s="20"/>
      <c r="G26" s="39"/>
      <c r="H26" s="19"/>
      <c r="I26" s="43"/>
      <c r="J26" s="19"/>
      <c r="K26" s="147"/>
      <c r="L26" s="238">
        <f t="shared" si="0"/>
        <v>0</v>
      </c>
      <c r="M26" s="257"/>
      <c r="N26" s="258"/>
      <c r="O26" s="39"/>
    </row>
    <row r="27" spans="1:15" ht="17.25" hidden="1">
      <c r="A27" s="20"/>
      <c r="B27" s="225">
        <v>11218</v>
      </c>
      <c r="C27" s="15" t="s">
        <v>523</v>
      </c>
      <c r="D27" s="19"/>
      <c r="E27" s="39"/>
      <c r="F27" s="20"/>
      <c r="G27" s="39"/>
      <c r="H27" s="19"/>
      <c r="I27" s="43"/>
      <c r="J27" s="19"/>
      <c r="K27" s="147"/>
      <c r="L27" s="238">
        <f t="shared" si="0"/>
        <v>0</v>
      </c>
      <c r="M27" s="257"/>
      <c r="N27" s="258"/>
      <c r="O27" s="39"/>
    </row>
    <row r="28" spans="1:15" ht="17.25" hidden="1">
      <c r="A28" s="20"/>
      <c r="B28" s="225">
        <v>11219</v>
      </c>
      <c r="C28" s="15" t="s">
        <v>524</v>
      </c>
      <c r="D28" s="19"/>
      <c r="E28" s="39"/>
      <c r="F28" s="20"/>
      <c r="G28" s="39"/>
      <c r="H28" s="19"/>
      <c r="I28" s="43"/>
      <c r="J28" s="19"/>
      <c r="K28" s="147"/>
      <c r="L28" s="238">
        <f t="shared" si="0"/>
        <v>0</v>
      </c>
      <c r="M28" s="257"/>
      <c r="N28" s="258"/>
      <c r="O28" s="39"/>
    </row>
    <row r="29" spans="1:15" ht="17.25" hidden="1">
      <c r="A29" s="20"/>
      <c r="B29" s="250" t="s">
        <v>677</v>
      </c>
      <c r="C29" s="15" t="s">
        <v>676</v>
      </c>
      <c r="D29" s="19"/>
      <c r="E29" s="39"/>
      <c r="F29" s="20"/>
      <c r="G29" s="39"/>
      <c r="H29" s="19"/>
      <c r="I29" s="43"/>
      <c r="J29" s="19"/>
      <c r="K29" s="147"/>
      <c r="L29" s="238">
        <f t="shared" si="0"/>
        <v>0</v>
      </c>
      <c r="M29" s="257"/>
      <c r="N29" s="258"/>
      <c r="O29" s="39"/>
    </row>
    <row r="30" spans="1:15" ht="17.25" hidden="1">
      <c r="A30" s="20"/>
      <c r="B30" s="225">
        <v>11221</v>
      </c>
      <c r="C30" s="15" t="s">
        <v>182</v>
      </c>
      <c r="D30" s="19"/>
      <c r="E30" s="39"/>
      <c r="F30" s="20"/>
      <c r="G30" s="39"/>
      <c r="H30" s="19"/>
      <c r="I30" s="39"/>
      <c r="J30" s="19"/>
      <c r="K30" s="147"/>
      <c r="L30" s="238">
        <f t="shared" si="0"/>
        <v>0</v>
      </c>
      <c r="M30" s="257"/>
      <c r="N30" s="258"/>
      <c r="O30" s="39"/>
    </row>
    <row r="31" spans="1:15" ht="17.25" hidden="1">
      <c r="A31" s="20"/>
      <c r="B31" s="225">
        <v>11222</v>
      </c>
      <c r="C31" s="15" t="s">
        <v>86</v>
      </c>
      <c r="D31" s="19"/>
      <c r="E31" s="39"/>
      <c r="F31" s="20"/>
      <c r="G31" s="39"/>
      <c r="H31" s="19"/>
      <c r="I31" s="39"/>
      <c r="J31" s="19"/>
      <c r="K31" s="147"/>
      <c r="L31" s="238">
        <f t="shared" si="0"/>
        <v>0</v>
      </c>
      <c r="M31" s="257"/>
      <c r="N31" s="258"/>
      <c r="O31" s="39"/>
    </row>
    <row r="32" spans="1:15" ht="17.25" hidden="1">
      <c r="A32" s="20"/>
      <c r="B32" s="225">
        <v>11223</v>
      </c>
      <c r="C32" s="15" t="s">
        <v>84</v>
      </c>
      <c r="D32" s="19"/>
      <c r="E32" s="39"/>
      <c r="F32" s="20"/>
      <c r="G32" s="39"/>
      <c r="H32" s="19"/>
      <c r="I32" s="39"/>
      <c r="J32" s="19"/>
      <c r="K32" s="147"/>
      <c r="L32" s="238">
        <f t="shared" si="0"/>
        <v>0</v>
      </c>
      <c r="M32" s="257"/>
      <c r="N32" s="258"/>
      <c r="O32" s="39"/>
    </row>
    <row r="33" spans="1:15" ht="17.25" hidden="1">
      <c r="A33" s="20"/>
      <c r="B33" s="225">
        <v>11224</v>
      </c>
      <c r="C33" s="15" t="s">
        <v>87</v>
      </c>
      <c r="D33" s="19"/>
      <c r="E33" s="39"/>
      <c r="F33" s="20"/>
      <c r="G33" s="39"/>
      <c r="H33" s="19"/>
      <c r="I33" s="39"/>
      <c r="J33" s="19"/>
      <c r="K33" s="147"/>
      <c r="L33" s="238">
        <f t="shared" si="0"/>
        <v>0</v>
      </c>
      <c r="M33" s="257"/>
      <c r="N33" s="258"/>
      <c r="O33" s="39"/>
    </row>
    <row r="34" spans="1:15" ht="17.25" hidden="1">
      <c r="A34" s="20"/>
      <c r="B34" s="225">
        <v>11225</v>
      </c>
      <c r="C34" s="15" t="s">
        <v>85</v>
      </c>
      <c r="D34" s="19"/>
      <c r="E34" s="39"/>
      <c r="F34" s="20"/>
      <c r="G34" s="39"/>
      <c r="H34" s="19"/>
      <c r="I34" s="39"/>
      <c r="J34" s="19"/>
      <c r="K34" s="39"/>
      <c r="L34" s="238">
        <f t="shared" si="0"/>
        <v>0</v>
      </c>
      <c r="M34" s="257"/>
      <c r="N34" s="258"/>
      <c r="O34" s="39"/>
    </row>
    <row r="35" spans="1:15" ht="17.25" hidden="1">
      <c r="A35" s="20"/>
      <c r="B35" s="250" t="s">
        <v>678</v>
      </c>
      <c r="C35" s="15" t="s">
        <v>680</v>
      </c>
      <c r="D35" s="19"/>
      <c r="E35" s="39"/>
      <c r="F35" s="20"/>
      <c r="G35" s="39"/>
      <c r="H35" s="19"/>
      <c r="I35" s="39"/>
      <c r="J35" s="19"/>
      <c r="K35" s="39"/>
      <c r="L35" s="238">
        <f t="shared" si="0"/>
        <v>0</v>
      </c>
      <c r="M35" s="257"/>
      <c r="N35" s="258"/>
      <c r="O35" s="39"/>
    </row>
    <row r="36" spans="1:15" ht="17.25" hidden="1">
      <c r="A36" s="20"/>
      <c r="B36" s="250" t="s">
        <v>679</v>
      </c>
      <c r="C36" s="15" t="s">
        <v>676</v>
      </c>
      <c r="D36" s="19"/>
      <c r="E36" s="39"/>
      <c r="F36" s="20"/>
      <c r="G36" s="39"/>
      <c r="H36" s="19"/>
      <c r="I36" s="39"/>
      <c r="J36" s="19"/>
      <c r="K36" s="39"/>
      <c r="L36" s="238">
        <f t="shared" si="0"/>
        <v>0</v>
      </c>
      <c r="M36" s="257"/>
      <c r="N36" s="258"/>
      <c r="O36" s="39"/>
    </row>
    <row r="37" spans="1:15" ht="17.25" hidden="1">
      <c r="A37" s="20"/>
      <c r="B37" s="42">
        <v>1123</v>
      </c>
      <c r="C37" s="15" t="s">
        <v>761</v>
      </c>
      <c r="D37" s="19">
        <v>0</v>
      </c>
      <c r="E37" s="39"/>
      <c r="F37" s="20"/>
      <c r="G37" s="39"/>
      <c r="H37" s="19"/>
      <c r="I37" s="39"/>
      <c r="J37" s="19"/>
      <c r="K37" s="39"/>
      <c r="L37" s="238">
        <f>D37+H37-J37</f>
        <v>0</v>
      </c>
      <c r="M37" s="257"/>
      <c r="N37" s="258"/>
      <c r="O37" s="39"/>
    </row>
    <row r="38" spans="1:15" ht="15">
      <c r="A38" s="20"/>
      <c r="B38" s="42"/>
      <c r="C38" s="15"/>
      <c r="D38" s="19"/>
      <c r="E38" s="39"/>
      <c r="F38" s="20"/>
      <c r="G38" s="39"/>
      <c r="H38" s="19"/>
      <c r="I38" s="39"/>
      <c r="J38" s="19"/>
      <c r="K38" s="39"/>
      <c r="L38" s="238"/>
      <c r="M38" s="257"/>
      <c r="N38" s="258"/>
      <c r="O38" s="39"/>
    </row>
    <row r="39" spans="1:15" ht="18" hidden="1">
      <c r="A39" s="40">
        <v>113</v>
      </c>
      <c r="B39" s="20"/>
      <c r="C39" s="2" t="s">
        <v>762</v>
      </c>
      <c r="D39" s="28">
        <f>SUM(D40:D41)</f>
        <v>0</v>
      </c>
      <c r="E39" s="39"/>
      <c r="F39" s="20"/>
      <c r="G39" s="39"/>
      <c r="H39" s="28">
        <f>SUM(H40:H41)</f>
        <v>0</v>
      </c>
      <c r="I39" s="41"/>
      <c r="J39" s="28">
        <f>SUM(J40:J41)</f>
        <v>0</v>
      </c>
      <c r="K39" s="41"/>
      <c r="L39" s="260">
        <f>SUM(L40:L41)</f>
        <v>0</v>
      </c>
      <c r="M39" s="257"/>
      <c r="N39" s="258"/>
      <c r="O39" s="39"/>
    </row>
    <row r="40" spans="1:15" ht="17.25" hidden="1">
      <c r="A40" s="20"/>
      <c r="B40" s="42">
        <v>1111</v>
      </c>
      <c r="C40" s="15" t="s">
        <v>760</v>
      </c>
      <c r="D40" s="19">
        <v>0</v>
      </c>
      <c r="E40" s="39"/>
      <c r="F40" s="20"/>
      <c r="G40" s="39"/>
      <c r="H40" s="19">
        <v>0</v>
      </c>
      <c r="I40" s="39"/>
      <c r="J40" s="19">
        <v>0</v>
      </c>
      <c r="K40" s="39"/>
      <c r="L40" s="238">
        <f>H40+D40-J40</f>
        <v>0</v>
      </c>
      <c r="M40" s="257"/>
      <c r="N40" s="258"/>
      <c r="O40" s="39"/>
    </row>
    <row r="41" spans="1:15" ht="17.25" hidden="1">
      <c r="A41" s="20"/>
      <c r="B41" s="42">
        <v>1112</v>
      </c>
      <c r="C41" s="15" t="s">
        <v>254</v>
      </c>
      <c r="D41" s="19">
        <v>0</v>
      </c>
      <c r="E41" s="39"/>
      <c r="F41" s="20"/>
      <c r="G41" s="39"/>
      <c r="H41" s="19">
        <v>0</v>
      </c>
      <c r="I41" s="39"/>
      <c r="J41" s="19">
        <v>0</v>
      </c>
      <c r="K41" s="39"/>
      <c r="L41" s="238">
        <f>H41+D41-J41</f>
        <v>0</v>
      </c>
      <c r="M41" s="257"/>
      <c r="N41" s="258"/>
      <c r="O41" s="39"/>
    </row>
    <row r="42" spans="1:15" ht="17.25" hidden="1">
      <c r="A42" s="20"/>
      <c r="B42" s="42"/>
      <c r="C42" s="15"/>
      <c r="D42" s="19"/>
      <c r="E42" s="39"/>
      <c r="F42" s="20"/>
      <c r="G42" s="39"/>
      <c r="H42" s="19"/>
      <c r="I42" s="39"/>
      <c r="J42" s="19"/>
      <c r="K42" s="39"/>
      <c r="L42" s="238"/>
      <c r="M42" s="257"/>
      <c r="N42" s="258"/>
      <c r="O42" s="39"/>
    </row>
    <row r="43" spans="1:15" ht="18" hidden="1">
      <c r="A43" s="40">
        <v>121</v>
      </c>
      <c r="B43" s="20"/>
      <c r="C43" s="2" t="s">
        <v>763</v>
      </c>
      <c r="D43" s="28">
        <f>SUM(D44:D45)</f>
        <v>0</v>
      </c>
      <c r="E43" s="39"/>
      <c r="F43" s="20"/>
      <c r="G43" s="39"/>
      <c r="H43" s="28">
        <f>SUM(H44:H45)</f>
        <v>0</v>
      </c>
      <c r="I43" s="41"/>
      <c r="J43" s="28">
        <f>SUM(J44:J45)</f>
        <v>0</v>
      </c>
      <c r="K43" s="41"/>
      <c r="L43" s="260">
        <f>SUM(L44:L45)</f>
        <v>0</v>
      </c>
      <c r="M43" s="257"/>
      <c r="N43" s="258"/>
      <c r="O43" s="39"/>
    </row>
    <row r="44" spans="1:15" ht="17.25" hidden="1">
      <c r="A44" s="20"/>
      <c r="B44" s="42">
        <v>1211</v>
      </c>
      <c r="C44" s="15" t="s">
        <v>764</v>
      </c>
      <c r="D44" s="19"/>
      <c r="E44" s="39"/>
      <c r="F44" s="20"/>
      <c r="G44" s="39"/>
      <c r="H44" s="19"/>
      <c r="I44" s="39"/>
      <c r="J44" s="19"/>
      <c r="K44" s="39"/>
      <c r="L44" s="238">
        <f>H44+D44-J44</f>
        <v>0</v>
      </c>
      <c r="M44" s="257"/>
      <c r="N44" s="258"/>
      <c r="O44" s="39"/>
    </row>
    <row r="45" spans="1:15" ht="17.25" hidden="1">
      <c r="A45" s="20"/>
      <c r="B45" s="42">
        <v>1212</v>
      </c>
      <c r="C45" s="15" t="s">
        <v>765</v>
      </c>
      <c r="D45" s="19"/>
      <c r="E45" s="39"/>
      <c r="F45" s="20"/>
      <c r="G45" s="39"/>
      <c r="H45" s="19"/>
      <c r="I45" s="39"/>
      <c r="J45" s="19"/>
      <c r="K45" s="39"/>
      <c r="L45" s="238">
        <f>H45+D45-J45</f>
        <v>0</v>
      </c>
      <c r="M45" s="257"/>
      <c r="N45" s="258"/>
      <c r="O45" s="39"/>
    </row>
    <row r="46" spans="1:15" ht="17.25" hidden="1">
      <c r="A46" s="20"/>
      <c r="B46" s="42"/>
      <c r="C46" s="15"/>
      <c r="D46" s="19"/>
      <c r="E46" s="39"/>
      <c r="F46" s="20"/>
      <c r="G46" s="39"/>
      <c r="H46" s="19"/>
      <c r="I46" s="39"/>
      <c r="J46" s="19"/>
      <c r="K46" s="39"/>
      <c r="L46" s="238"/>
      <c r="M46" s="257"/>
      <c r="N46" s="258"/>
      <c r="O46" s="39"/>
    </row>
    <row r="47" spans="1:15" ht="15.75">
      <c r="A47" s="40">
        <v>128</v>
      </c>
      <c r="B47" s="42"/>
      <c r="C47" s="2" t="s">
        <v>256</v>
      </c>
      <c r="D47" s="28">
        <v>244052750954</v>
      </c>
      <c r="E47" s="39"/>
      <c r="F47" s="20"/>
      <c r="G47" s="39"/>
      <c r="H47" s="28">
        <v>20554400000</v>
      </c>
      <c r="I47" s="41"/>
      <c r="J47" s="28">
        <v>228765552704</v>
      </c>
      <c r="K47" s="226"/>
      <c r="L47" s="260">
        <f>D47+H47-J47</f>
        <v>35841598250</v>
      </c>
      <c r="M47" s="257"/>
      <c r="N47" s="258"/>
      <c r="O47" s="39"/>
    </row>
    <row r="48" spans="1:15" ht="17.25" hidden="1">
      <c r="A48" s="20"/>
      <c r="B48" s="20"/>
      <c r="C48" s="15"/>
      <c r="D48" s="20"/>
      <c r="E48" s="39"/>
      <c r="F48" s="20"/>
      <c r="G48" s="39"/>
      <c r="H48" s="20"/>
      <c r="I48" s="39"/>
      <c r="J48" s="20"/>
      <c r="K48" s="39"/>
      <c r="L48" s="258"/>
      <c r="M48" s="257"/>
      <c r="N48" s="258"/>
      <c r="O48" s="39"/>
    </row>
    <row r="49" spans="1:15" ht="18" hidden="1">
      <c r="A49" s="40">
        <v>129</v>
      </c>
      <c r="B49" s="42"/>
      <c r="C49" s="2" t="s">
        <v>766</v>
      </c>
      <c r="D49" s="28">
        <v>0</v>
      </c>
      <c r="E49" s="39"/>
      <c r="F49" s="20"/>
      <c r="G49" s="39"/>
      <c r="H49" s="28"/>
      <c r="I49" s="41"/>
      <c r="J49" s="28"/>
      <c r="K49" s="41"/>
      <c r="L49" s="260">
        <f>D49+H49-J49</f>
        <v>0</v>
      </c>
      <c r="M49" s="257"/>
      <c r="N49" s="258"/>
      <c r="O49" s="39"/>
    </row>
    <row r="50" spans="1:15" ht="15">
      <c r="A50" s="20"/>
      <c r="B50" s="20"/>
      <c r="C50" s="15"/>
      <c r="D50" s="20"/>
      <c r="E50" s="39"/>
      <c r="F50" s="20"/>
      <c r="G50" s="39"/>
      <c r="H50" s="20"/>
      <c r="I50" s="39"/>
      <c r="J50" s="20"/>
      <c r="K50" s="39"/>
      <c r="L50" s="258"/>
      <c r="M50" s="257"/>
      <c r="N50" s="258"/>
      <c r="O50" s="39"/>
    </row>
    <row r="51" spans="1:15" ht="15.75">
      <c r="A51" s="40">
        <v>131</v>
      </c>
      <c r="B51" s="20"/>
      <c r="C51" s="2" t="s">
        <v>947</v>
      </c>
      <c r="D51" s="28"/>
      <c r="E51" s="39"/>
      <c r="F51" s="28">
        <v>12772467930</v>
      </c>
      <c r="G51" s="39"/>
      <c r="H51" s="28">
        <v>484006098228</v>
      </c>
      <c r="I51" s="41"/>
      <c r="J51" s="28">
        <v>465638543693</v>
      </c>
      <c r="K51" s="226"/>
      <c r="L51" s="260">
        <f>H51-F51-J51</f>
        <v>5595086605</v>
      </c>
      <c r="M51" s="257"/>
      <c r="N51" s="260"/>
      <c r="O51" s="39"/>
    </row>
    <row r="52" spans="1:15" ht="15">
      <c r="A52" s="20"/>
      <c r="B52" s="20"/>
      <c r="C52" s="15" t="s">
        <v>948</v>
      </c>
      <c r="D52" s="72">
        <v>3564390982</v>
      </c>
      <c r="E52" s="39"/>
      <c r="F52" s="19"/>
      <c r="G52" s="39"/>
      <c r="H52" s="20"/>
      <c r="I52" s="39"/>
      <c r="J52" s="20"/>
      <c r="K52" s="39"/>
      <c r="L52" s="72">
        <v>22762937848</v>
      </c>
      <c r="M52" s="39"/>
      <c r="N52" s="19"/>
      <c r="O52" s="39"/>
    </row>
    <row r="53" spans="1:15" ht="15">
      <c r="A53" s="20"/>
      <c r="B53" s="20"/>
      <c r="C53" s="15" t="s">
        <v>949</v>
      </c>
      <c r="D53" s="19"/>
      <c r="E53" s="39"/>
      <c r="F53" s="72">
        <v>16336858912</v>
      </c>
      <c r="G53" s="39"/>
      <c r="H53" s="20"/>
      <c r="I53" s="39"/>
      <c r="J53" s="20"/>
      <c r="K53" s="39"/>
      <c r="L53" s="19"/>
      <c r="M53" s="39"/>
      <c r="N53" s="72">
        <v>17167851243</v>
      </c>
      <c r="O53" s="39"/>
    </row>
    <row r="54" spans="1:15" ht="17.25" hidden="1">
      <c r="A54" s="20"/>
      <c r="B54" s="20"/>
      <c r="C54" s="15"/>
      <c r="D54" s="20"/>
      <c r="E54" s="39"/>
      <c r="F54" s="20"/>
      <c r="G54" s="39"/>
      <c r="H54" s="20"/>
      <c r="I54" s="39"/>
      <c r="J54" s="20"/>
      <c r="K54" s="39"/>
      <c r="L54" s="19"/>
      <c r="M54" s="39"/>
      <c r="N54" s="19"/>
      <c r="O54" s="39"/>
    </row>
    <row r="55" spans="1:15" s="45" customFormat="1" ht="15.75">
      <c r="A55" s="40">
        <v>133</v>
      </c>
      <c r="B55" s="27"/>
      <c r="C55" s="2" t="s">
        <v>665</v>
      </c>
      <c r="D55" s="260">
        <f>SUM(D56:D58)</f>
        <v>454449338</v>
      </c>
      <c r="E55" s="41"/>
      <c r="F55" s="27"/>
      <c r="G55" s="41"/>
      <c r="H55" s="28">
        <f>SUM(H56:H58)</f>
        <v>6979202569</v>
      </c>
      <c r="I55" s="44"/>
      <c r="J55" s="28">
        <f>SUM(J56:J58)</f>
        <v>7433651907</v>
      </c>
      <c r="K55" s="261"/>
      <c r="L55" s="260">
        <f>SUM(L56:L58)</f>
        <v>0</v>
      </c>
      <c r="M55" s="41"/>
      <c r="N55" s="28"/>
      <c r="O55" s="41"/>
    </row>
    <row r="56" spans="1:15" ht="15">
      <c r="A56" s="20"/>
      <c r="B56" s="20">
        <v>1331</v>
      </c>
      <c r="C56" s="15" t="s">
        <v>767</v>
      </c>
      <c r="D56" s="20">
        <v>0</v>
      </c>
      <c r="E56" s="39"/>
      <c r="F56" s="20"/>
      <c r="G56" s="39"/>
      <c r="H56" s="19">
        <v>6497322931</v>
      </c>
      <c r="I56" s="43"/>
      <c r="J56" s="19">
        <v>6497322931</v>
      </c>
      <c r="K56" s="257"/>
      <c r="L56" s="238">
        <f>D56+H56-J56</f>
        <v>0</v>
      </c>
      <c r="M56" s="39"/>
      <c r="N56" s="20"/>
      <c r="O56" s="39"/>
    </row>
    <row r="57" spans="1:15" ht="15">
      <c r="A57" s="20"/>
      <c r="B57" s="20">
        <v>1332</v>
      </c>
      <c r="C57" s="15" t="s">
        <v>472</v>
      </c>
      <c r="D57" s="20">
        <v>0</v>
      </c>
      <c r="E57" s="39"/>
      <c r="F57" s="20"/>
      <c r="G57" s="39"/>
      <c r="H57" s="19">
        <v>481879638</v>
      </c>
      <c r="I57" s="43"/>
      <c r="J57" s="19">
        <v>481879638</v>
      </c>
      <c r="K57" s="257"/>
      <c r="L57" s="238">
        <f>D57+H57-J57</f>
        <v>0</v>
      </c>
      <c r="M57" s="39"/>
      <c r="N57" s="20"/>
      <c r="O57" s="39"/>
    </row>
    <row r="58" spans="1:15" ht="15">
      <c r="A58" s="20"/>
      <c r="B58" s="20">
        <v>1333</v>
      </c>
      <c r="C58" s="15" t="s">
        <v>517</v>
      </c>
      <c r="D58" s="238">
        <v>454449338</v>
      </c>
      <c r="E58" s="39"/>
      <c r="F58" s="20"/>
      <c r="G58" s="39"/>
      <c r="H58" s="19">
        <v>0</v>
      </c>
      <c r="I58" s="43"/>
      <c r="J58" s="19">
        <v>454449338</v>
      </c>
      <c r="K58" s="257"/>
      <c r="L58" s="238">
        <f>D58+H58-J58</f>
        <v>0</v>
      </c>
      <c r="M58" s="39"/>
      <c r="N58" s="20"/>
      <c r="O58" s="39"/>
    </row>
    <row r="59" spans="1:15" ht="15">
      <c r="A59" s="20"/>
      <c r="B59" s="20"/>
      <c r="C59" s="15"/>
      <c r="D59" s="20"/>
      <c r="E59" s="39"/>
      <c r="F59" s="20"/>
      <c r="G59" s="39"/>
      <c r="H59" s="19"/>
      <c r="I59" s="43"/>
      <c r="J59" s="19"/>
      <c r="K59" s="39"/>
      <c r="L59" s="19"/>
      <c r="M59" s="39"/>
      <c r="N59" s="20"/>
      <c r="O59" s="39"/>
    </row>
    <row r="60" spans="1:15" ht="15.75">
      <c r="A60" s="40">
        <v>136</v>
      </c>
      <c r="B60" s="20"/>
      <c r="C60" s="2" t="s">
        <v>950</v>
      </c>
      <c r="D60" s="28">
        <f>SUM(D61:D62)</f>
        <v>0</v>
      </c>
      <c r="E60" s="39"/>
      <c r="F60" s="28"/>
      <c r="G60" s="39"/>
      <c r="H60" s="28">
        <f>SUM(H61:H62)</f>
        <v>64977884</v>
      </c>
      <c r="I60" s="41"/>
      <c r="J60" s="28">
        <f>SUM(J61:J62)</f>
        <v>64977884</v>
      </c>
      <c r="K60" s="261"/>
      <c r="L60" s="260">
        <f>SUM(L61:L62)</f>
        <v>0</v>
      </c>
      <c r="M60" s="39"/>
      <c r="N60" s="28"/>
      <c r="O60" s="39"/>
    </row>
    <row r="61" spans="1:15" ht="17.25" hidden="1">
      <c r="A61" s="20"/>
      <c r="B61" s="42">
        <v>1361</v>
      </c>
      <c r="C61" s="15" t="s">
        <v>473</v>
      </c>
      <c r="D61" s="19"/>
      <c r="E61" s="39"/>
      <c r="F61" s="19"/>
      <c r="G61" s="39"/>
      <c r="H61" s="19">
        <v>0</v>
      </c>
      <c r="I61" s="39"/>
      <c r="J61" s="19">
        <v>0</v>
      </c>
      <c r="K61" s="257"/>
      <c r="L61" s="238">
        <f>D61+H61-J61</f>
        <v>0</v>
      </c>
      <c r="M61" s="39"/>
      <c r="N61" s="19"/>
      <c r="O61" s="39"/>
    </row>
    <row r="62" spans="1:15" ht="15">
      <c r="A62" s="20"/>
      <c r="B62" s="42">
        <v>1368</v>
      </c>
      <c r="C62" s="15" t="s">
        <v>951</v>
      </c>
      <c r="D62" s="19">
        <v>0</v>
      </c>
      <c r="E62" s="39"/>
      <c r="F62" s="19"/>
      <c r="G62" s="39"/>
      <c r="H62" s="19">
        <v>64977884</v>
      </c>
      <c r="I62" s="39"/>
      <c r="J62" s="19">
        <v>64977884</v>
      </c>
      <c r="K62" s="257"/>
      <c r="L62" s="238">
        <f>H62-F62-J62</f>
        <v>0</v>
      </c>
      <c r="M62" s="39"/>
      <c r="N62" s="19"/>
      <c r="O62" s="39"/>
    </row>
    <row r="63" spans="1:15" ht="17.25" hidden="1">
      <c r="A63" s="20"/>
      <c r="B63" s="42"/>
      <c r="C63" s="15"/>
      <c r="D63" s="19"/>
      <c r="E63" s="39"/>
      <c r="F63" s="20"/>
      <c r="G63" s="39"/>
      <c r="H63" s="20"/>
      <c r="I63" s="39"/>
      <c r="J63" s="20"/>
      <c r="K63" s="257"/>
      <c r="L63" s="258"/>
      <c r="M63" s="39"/>
      <c r="N63" s="20"/>
      <c r="O63" s="39"/>
    </row>
    <row r="64" spans="1:15" ht="15.75">
      <c r="A64" s="40">
        <v>138</v>
      </c>
      <c r="B64" s="42"/>
      <c r="C64" s="2" t="s">
        <v>952</v>
      </c>
      <c r="D64" s="28">
        <f>SUM(D65:D67)</f>
        <v>3221547166</v>
      </c>
      <c r="E64" s="39"/>
      <c r="F64" s="20"/>
      <c r="G64" s="39"/>
      <c r="H64" s="28">
        <f>SUM(H65:H67)</f>
        <v>7774517351</v>
      </c>
      <c r="I64" s="41"/>
      <c r="J64" s="28">
        <f>SUM(J65:J67)</f>
        <v>4377180013</v>
      </c>
      <c r="K64" s="261"/>
      <c r="L64" s="260">
        <f>SUM(L65:L67)</f>
        <v>6618884504</v>
      </c>
      <c r="M64" s="39"/>
      <c r="N64" s="20"/>
      <c r="O64" s="39"/>
    </row>
    <row r="65" spans="1:15" ht="18" hidden="1">
      <c r="A65" s="40"/>
      <c r="B65" s="42">
        <v>1381</v>
      </c>
      <c r="C65" s="15" t="s">
        <v>475</v>
      </c>
      <c r="D65" s="19"/>
      <c r="E65" s="39"/>
      <c r="F65" s="19"/>
      <c r="G65" s="39"/>
      <c r="H65" s="19">
        <v>0</v>
      </c>
      <c r="I65" s="41"/>
      <c r="J65" s="19">
        <v>0</v>
      </c>
      <c r="K65" s="261"/>
      <c r="L65" s="238"/>
      <c r="M65" s="39"/>
      <c r="N65" s="20"/>
      <c r="O65" s="39"/>
    </row>
    <row r="66" spans="1:15" ht="18" hidden="1">
      <c r="A66" s="40"/>
      <c r="B66" s="42">
        <v>1385</v>
      </c>
      <c r="C66" s="15" t="s">
        <v>47</v>
      </c>
      <c r="D66" s="19">
        <v>0</v>
      </c>
      <c r="E66" s="39"/>
      <c r="F66" s="19"/>
      <c r="G66" s="39"/>
      <c r="H66" s="19">
        <v>0</v>
      </c>
      <c r="I66" s="41"/>
      <c r="J66" s="19">
        <v>0</v>
      </c>
      <c r="K66" s="261"/>
      <c r="L66" s="238">
        <f>D66+H66-J66</f>
        <v>0</v>
      </c>
      <c r="M66" s="39"/>
      <c r="N66" s="20"/>
      <c r="O66" s="39"/>
    </row>
    <row r="67" spans="1:15" ht="15">
      <c r="A67" s="20"/>
      <c r="B67" s="42">
        <v>1388</v>
      </c>
      <c r="C67" s="15" t="s">
        <v>952</v>
      </c>
      <c r="D67" s="19">
        <v>3221547166</v>
      </c>
      <c r="E67" s="39"/>
      <c r="F67" s="20"/>
      <c r="G67" s="39"/>
      <c r="H67" s="19">
        <v>7774517351</v>
      </c>
      <c r="I67" s="39"/>
      <c r="J67" s="19">
        <v>4377180013</v>
      </c>
      <c r="K67" s="257"/>
      <c r="L67" s="238">
        <f>D67+H67-J67</f>
        <v>6618884504</v>
      </c>
      <c r="M67" s="39"/>
      <c r="N67" s="20"/>
      <c r="O67" s="39"/>
    </row>
    <row r="68" spans="1:15" ht="17.25" hidden="1">
      <c r="A68" s="20"/>
      <c r="B68" s="42"/>
      <c r="C68" s="15"/>
      <c r="D68" s="19"/>
      <c r="E68" s="39"/>
      <c r="F68" s="20"/>
      <c r="G68" s="39"/>
      <c r="H68" s="19"/>
      <c r="I68" s="39"/>
      <c r="J68" s="19"/>
      <c r="K68" s="257"/>
      <c r="L68" s="238"/>
      <c r="M68" s="39"/>
      <c r="N68" s="20"/>
      <c r="O68" s="39"/>
    </row>
    <row r="69" spans="1:15" s="45" customFormat="1" ht="18" hidden="1">
      <c r="A69" s="40">
        <v>139</v>
      </c>
      <c r="B69" s="40"/>
      <c r="C69" s="2" t="s">
        <v>135</v>
      </c>
      <c r="D69" s="28"/>
      <c r="E69" s="41"/>
      <c r="F69" s="28"/>
      <c r="G69" s="41"/>
      <c r="H69" s="28"/>
      <c r="I69" s="41"/>
      <c r="J69" s="28"/>
      <c r="K69" s="261"/>
      <c r="L69" s="260"/>
      <c r="M69" s="41"/>
      <c r="N69" s="28"/>
      <c r="O69" s="41"/>
    </row>
    <row r="70" spans="1:15" ht="17.25" hidden="1">
      <c r="A70" s="20"/>
      <c r="B70" s="20"/>
      <c r="C70" s="15"/>
      <c r="D70" s="20"/>
      <c r="E70" s="39"/>
      <c r="F70" s="20"/>
      <c r="G70" s="39"/>
      <c r="H70" s="20"/>
      <c r="I70" s="39"/>
      <c r="J70" s="20"/>
      <c r="K70" s="257"/>
      <c r="L70" s="258"/>
      <c r="M70" s="39"/>
      <c r="N70" s="20"/>
      <c r="O70" s="39"/>
    </row>
    <row r="71" spans="1:15" ht="15.75">
      <c r="A71" s="40">
        <v>141</v>
      </c>
      <c r="B71" s="20"/>
      <c r="C71" s="2" t="s">
        <v>953</v>
      </c>
      <c r="D71" s="28">
        <v>963935680</v>
      </c>
      <c r="E71" s="39"/>
      <c r="F71" s="20"/>
      <c r="G71" s="39"/>
      <c r="H71" s="28">
        <v>12297583915</v>
      </c>
      <c r="I71" s="41"/>
      <c r="J71" s="28">
        <v>11642216103</v>
      </c>
      <c r="K71" s="261"/>
      <c r="L71" s="260">
        <f>D71+H71-J71</f>
        <v>1619303492</v>
      </c>
      <c r="M71" s="39"/>
      <c r="N71" s="20"/>
      <c r="O71" s="39"/>
    </row>
    <row r="72" spans="1:15" ht="15.75">
      <c r="A72" s="40"/>
      <c r="B72" s="20"/>
      <c r="C72" s="2"/>
      <c r="D72" s="28"/>
      <c r="E72" s="39"/>
      <c r="F72" s="20"/>
      <c r="G72" s="39"/>
      <c r="H72" s="28"/>
      <c r="I72" s="41"/>
      <c r="J72" s="28"/>
      <c r="K72" s="261"/>
      <c r="L72" s="260"/>
      <c r="M72" s="39"/>
      <c r="N72" s="20"/>
      <c r="O72" s="39"/>
    </row>
    <row r="73" spans="1:15" ht="15.75">
      <c r="A73" s="40">
        <v>142</v>
      </c>
      <c r="B73" s="20"/>
      <c r="C73" s="2" t="s">
        <v>954</v>
      </c>
      <c r="D73" s="28">
        <v>0</v>
      </c>
      <c r="E73" s="39"/>
      <c r="F73" s="20"/>
      <c r="G73" s="39"/>
      <c r="H73" s="28">
        <v>29720048008</v>
      </c>
      <c r="I73" s="41"/>
      <c r="J73" s="28">
        <v>24624315410</v>
      </c>
      <c r="K73" s="261"/>
      <c r="L73" s="260">
        <f>D73+H73-J73</f>
        <v>5095732598</v>
      </c>
      <c r="M73" s="39"/>
      <c r="N73" s="20"/>
      <c r="O73" s="39"/>
    </row>
    <row r="74" spans="1:15" ht="15">
      <c r="A74" s="20"/>
      <c r="B74" s="20"/>
      <c r="C74" s="15"/>
      <c r="D74" s="20"/>
      <c r="E74" s="39"/>
      <c r="F74" s="20"/>
      <c r="G74" s="39"/>
      <c r="H74" s="20"/>
      <c r="I74" s="39"/>
      <c r="J74" s="20"/>
      <c r="K74" s="39"/>
      <c r="L74" s="20"/>
      <c r="M74" s="39"/>
      <c r="N74" s="20"/>
      <c r="O74" s="39"/>
    </row>
    <row r="75" spans="1:15" s="45" customFormat="1" ht="18" hidden="1">
      <c r="A75" s="40">
        <v>144</v>
      </c>
      <c r="B75" s="40"/>
      <c r="C75" s="2" t="s">
        <v>479</v>
      </c>
      <c r="D75" s="28">
        <v>0</v>
      </c>
      <c r="E75" s="39"/>
      <c r="F75" s="20"/>
      <c r="G75" s="39"/>
      <c r="H75" s="28">
        <v>0</v>
      </c>
      <c r="I75" s="41"/>
      <c r="J75" s="28">
        <v>0</v>
      </c>
      <c r="K75" s="41"/>
      <c r="L75" s="28">
        <f>D75+H75-J75</f>
        <v>0</v>
      </c>
      <c r="M75" s="41"/>
      <c r="N75" s="28"/>
      <c r="O75" s="41"/>
    </row>
    <row r="76" spans="1:15" ht="17.25" hidden="1">
      <c r="A76" s="20"/>
      <c r="B76" s="20"/>
      <c r="C76" s="15"/>
      <c r="D76" s="20"/>
      <c r="E76" s="39"/>
      <c r="F76" s="20"/>
      <c r="G76" s="39"/>
      <c r="H76" s="20"/>
      <c r="I76" s="39"/>
      <c r="J76" s="20"/>
      <c r="K76" s="39"/>
      <c r="L76" s="20"/>
      <c r="M76" s="39"/>
      <c r="N76" s="20"/>
      <c r="O76" s="39"/>
    </row>
    <row r="77" spans="1:15" s="45" customFormat="1" ht="18" hidden="1">
      <c r="A77" s="40">
        <v>151</v>
      </c>
      <c r="B77" s="40"/>
      <c r="C77" s="2" t="s">
        <v>496</v>
      </c>
      <c r="D77" s="28">
        <v>0</v>
      </c>
      <c r="E77" s="39"/>
      <c r="F77" s="20"/>
      <c r="G77" s="39"/>
      <c r="H77" s="28">
        <v>0</v>
      </c>
      <c r="I77" s="41"/>
      <c r="J77" s="28">
        <v>0</v>
      </c>
      <c r="K77" s="41"/>
      <c r="L77" s="28">
        <f>D77+H77-J77</f>
        <v>0</v>
      </c>
      <c r="M77" s="41"/>
      <c r="N77" s="28"/>
      <c r="O77" s="41"/>
    </row>
    <row r="78" spans="1:15" ht="17.25" hidden="1">
      <c r="A78" s="20"/>
      <c r="B78" s="20"/>
      <c r="C78" s="15"/>
      <c r="D78" s="20"/>
      <c r="E78" s="39"/>
      <c r="F78" s="20"/>
      <c r="G78" s="39"/>
      <c r="H78" s="20"/>
      <c r="I78" s="39"/>
      <c r="J78" s="20"/>
      <c r="K78" s="39"/>
      <c r="L78" s="20"/>
      <c r="M78" s="39"/>
      <c r="N78" s="20"/>
      <c r="O78" s="39"/>
    </row>
    <row r="79" spans="1:15" ht="15.75">
      <c r="A79" s="40">
        <v>152</v>
      </c>
      <c r="B79" s="20"/>
      <c r="C79" s="2" t="s">
        <v>480</v>
      </c>
      <c r="D79" s="28">
        <f>SUM(D80:D83)</f>
        <v>10362289590</v>
      </c>
      <c r="E79" s="39"/>
      <c r="F79" s="20"/>
      <c r="G79" s="39"/>
      <c r="H79" s="28">
        <f>SUM(H80:H83)</f>
        <v>52509419296</v>
      </c>
      <c r="I79" s="41"/>
      <c r="J79" s="28">
        <f>SUM(J80:J83)</f>
        <v>41012396059</v>
      </c>
      <c r="K79" s="261"/>
      <c r="L79" s="260">
        <f>SUM(L80:L83)</f>
        <v>21859312827</v>
      </c>
      <c r="M79" s="39"/>
      <c r="N79" s="20"/>
      <c r="O79" s="39"/>
    </row>
    <row r="80" spans="1:15" ht="15">
      <c r="A80" s="20"/>
      <c r="B80" s="20"/>
      <c r="C80" s="15" t="s">
        <v>481</v>
      </c>
      <c r="D80" s="19">
        <v>3359505513</v>
      </c>
      <c r="E80" s="39"/>
      <c r="F80" s="20"/>
      <c r="G80" s="39"/>
      <c r="H80" s="19">
        <v>40301254974</v>
      </c>
      <c r="I80" s="39"/>
      <c r="J80" s="19">
        <v>31734179040</v>
      </c>
      <c r="K80" s="257"/>
      <c r="L80" s="238">
        <f>D80+H80-J80</f>
        <v>11926581447</v>
      </c>
      <c r="M80" s="39"/>
      <c r="N80" s="20"/>
      <c r="O80" s="39"/>
    </row>
    <row r="81" spans="1:15" ht="15">
      <c r="A81" s="20"/>
      <c r="B81" s="20"/>
      <c r="C81" s="15" t="s">
        <v>955</v>
      </c>
      <c r="D81" s="19">
        <v>465688290</v>
      </c>
      <c r="E81" s="39"/>
      <c r="F81" s="20"/>
      <c r="G81" s="39"/>
      <c r="H81" s="19">
        <v>4609120625</v>
      </c>
      <c r="I81" s="39"/>
      <c r="J81" s="19">
        <v>4254872212</v>
      </c>
      <c r="K81" s="257"/>
      <c r="L81" s="238">
        <f>D81+H81-J81</f>
        <v>819936703</v>
      </c>
      <c r="M81" s="39"/>
      <c r="N81" s="20"/>
      <c r="O81" s="39"/>
    </row>
    <row r="82" spans="1:15" ht="15">
      <c r="A82" s="20"/>
      <c r="B82" s="20"/>
      <c r="C82" s="15" t="s">
        <v>956</v>
      </c>
      <c r="D82" s="19">
        <v>5690438123</v>
      </c>
      <c r="E82" s="39"/>
      <c r="F82" s="20"/>
      <c r="G82" s="39"/>
      <c r="H82" s="19">
        <v>5039201211</v>
      </c>
      <c r="I82" s="39"/>
      <c r="J82" s="19">
        <v>2835319390</v>
      </c>
      <c r="K82" s="257"/>
      <c r="L82" s="238">
        <f>D82+H82-J82</f>
        <v>7894319944</v>
      </c>
      <c r="M82" s="39"/>
      <c r="N82" s="20"/>
      <c r="O82" s="39"/>
    </row>
    <row r="83" spans="1:15" ht="15">
      <c r="A83" s="29"/>
      <c r="B83" s="29"/>
      <c r="C83" s="16" t="s">
        <v>957</v>
      </c>
      <c r="D83" s="227">
        <v>846657664</v>
      </c>
      <c r="E83" s="47"/>
      <c r="F83" s="29"/>
      <c r="G83" s="47"/>
      <c r="H83" s="227">
        <v>2559842486</v>
      </c>
      <c r="I83" s="47"/>
      <c r="J83" s="227">
        <v>2188025417</v>
      </c>
      <c r="K83" s="264"/>
      <c r="L83" s="263">
        <f>D83+H83-J83</f>
        <v>1218474733</v>
      </c>
      <c r="M83" s="47"/>
      <c r="N83" s="29"/>
      <c r="O83" s="47"/>
    </row>
    <row r="84" spans="1:15" ht="17.25" hidden="1">
      <c r="A84" s="242"/>
      <c r="B84" s="242"/>
      <c r="C84" s="243"/>
      <c r="D84" s="245"/>
      <c r="E84" s="298"/>
      <c r="F84" s="245"/>
      <c r="G84" s="298"/>
      <c r="H84" s="245"/>
      <c r="I84" s="298"/>
      <c r="J84" s="245"/>
      <c r="K84" s="265"/>
      <c r="L84" s="299"/>
      <c r="M84" s="244"/>
      <c r="N84" s="242"/>
      <c r="O84" s="244"/>
    </row>
    <row r="85" spans="1:15" ht="15.75">
      <c r="A85" s="228">
        <v>153</v>
      </c>
      <c r="B85" s="37"/>
      <c r="C85" s="3" t="s">
        <v>958</v>
      </c>
      <c r="D85" s="229">
        <f>SUM(D86:D86)</f>
        <v>1687526543</v>
      </c>
      <c r="E85" s="38"/>
      <c r="F85" s="37"/>
      <c r="G85" s="38"/>
      <c r="H85" s="229">
        <f>SUM(H86:H86)</f>
        <v>7834450111</v>
      </c>
      <c r="I85" s="309"/>
      <c r="J85" s="229">
        <f>SUM(J86:J86)</f>
        <v>5569779848</v>
      </c>
      <c r="K85" s="267"/>
      <c r="L85" s="266">
        <f>SUM(L86:L86)</f>
        <v>3952196806</v>
      </c>
      <c r="M85" s="38"/>
      <c r="N85" s="37"/>
      <c r="O85" s="38"/>
    </row>
    <row r="86" spans="1:15" ht="15">
      <c r="A86" s="20"/>
      <c r="B86" s="20">
        <v>1531</v>
      </c>
      <c r="C86" s="15" t="s">
        <v>482</v>
      </c>
      <c r="D86" s="19">
        <v>1687526543</v>
      </c>
      <c r="E86" s="39"/>
      <c r="F86" s="20"/>
      <c r="G86" s="39"/>
      <c r="H86" s="19">
        <v>7834450111</v>
      </c>
      <c r="I86" s="39"/>
      <c r="J86" s="19">
        <v>5569779848</v>
      </c>
      <c r="K86" s="257"/>
      <c r="L86" s="238">
        <f>D86+H86-J86</f>
        <v>3952196806</v>
      </c>
      <c r="M86" s="39"/>
      <c r="N86" s="20"/>
      <c r="O86" s="39"/>
    </row>
    <row r="87" spans="1:15" ht="9" customHeight="1" hidden="1">
      <c r="A87" s="20"/>
      <c r="B87" s="20"/>
      <c r="C87" s="15"/>
      <c r="D87" s="20"/>
      <c r="E87" s="39"/>
      <c r="F87" s="20"/>
      <c r="G87" s="39"/>
      <c r="H87" s="20"/>
      <c r="I87" s="39"/>
      <c r="J87" s="20"/>
      <c r="K87" s="39"/>
      <c r="L87" s="20"/>
      <c r="M87" s="39"/>
      <c r="N87" s="20"/>
      <c r="O87" s="39"/>
    </row>
    <row r="88" spans="1:15" ht="29.25" customHeight="1">
      <c r="A88" s="40">
        <v>154</v>
      </c>
      <c r="B88" s="20"/>
      <c r="C88" s="2" t="s">
        <v>959</v>
      </c>
      <c r="D88" s="28">
        <f>SUM(D89:D97)</f>
        <v>7170398810</v>
      </c>
      <c r="E88" s="39"/>
      <c r="F88" s="20"/>
      <c r="G88" s="39"/>
      <c r="H88" s="28">
        <f>SUM(H89:H97)</f>
        <v>291167845334</v>
      </c>
      <c r="I88" s="41"/>
      <c r="J88" s="28">
        <f>SUM(J89:J97)</f>
        <v>296102265423</v>
      </c>
      <c r="K88" s="261"/>
      <c r="L88" s="260">
        <f aca="true" t="shared" si="1" ref="L88:L97">D88+H88-J88</f>
        <v>2235978721</v>
      </c>
      <c r="M88" s="39"/>
      <c r="N88" s="28"/>
      <c r="O88" s="39"/>
    </row>
    <row r="89" spans="1:15" ht="15.75">
      <c r="A89" s="40"/>
      <c r="B89" s="20"/>
      <c r="C89" s="15" t="s">
        <v>113</v>
      </c>
      <c r="D89" s="19">
        <v>0</v>
      </c>
      <c r="E89" s="39"/>
      <c r="F89" s="20"/>
      <c r="G89" s="39"/>
      <c r="H89" s="19">
        <v>229825897894</v>
      </c>
      <c r="I89" s="359"/>
      <c r="J89" s="19">
        <v>229825897894</v>
      </c>
      <c r="K89" s="257"/>
      <c r="L89" s="238">
        <f t="shared" si="1"/>
        <v>0</v>
      </c>
      <c r="M89" s="39"/>
      <c r="N89" s="20"/>
      <c r="O89" s="39"/>
    </row>
    <row r="90" spans="1:15" ht="15.75">
      <c r="A90" s="40"/>
      <c r="B90" s="20"/>
      <c r="C90" s="15" t="s">
        <v>114</v>
      </c>
      <c r="D90" s="19">
        <v>0</v>
      </c>
      <c r="E90" s="39"/>
      <c r="F90" s="20"/>
      <c r="G90" s="39"/>
      <c r="H90" s="19">
        <v>10765112936</v>
      </c>
      <c r="I90" s="39"/>
      <c r="J90" s="19">
        <v>10765112936</v>
      </c>
      <c r="K90" s="257"/>
      <c r="L90" s="238">
        <f t="shared" si="1"/>
        <v>0</v>
      </c>
      <c r="M90" s="39"/>
      <c r="N90" s="20"/>
      <c r="O90" s="39"/>
    </row>
    <row r="91" spans="1:15" ht="15.75">
      <c r="A91" s="40"/>
      <c r="B91" s="20"/>
      <c r="C91" s="15" t="s">
        <v>115</v>
      </c>
      <c r="D91" s="19">
        <v>0</v>
      </c>
      <c r="E91" s="39"/>
      <c r="F91" s="20"/>
      <c r="G91" s="39"/>
      <c r="H91" s="19">
        <v>18329125073</v>
      </c>
      <c r="I91" s="39"/>
      <c r="J91" s="19">
        <v>18329125073</v>
      </c>
      <c r="K91" s="257"/>
      <c r="L91" s="238">
        <f t="shared" si="1"/>
        <v>0</v>
      </c>
      <c r="M91" s="39"/>
      <c r="N91" s="20"/>
      <c r="O91" s="39"/>
    </row>
    <row r="92" spans="1:15" ht="15.75">
      <c r="A92" s="40"/>
      <c r="B92" s="20"/>
      <c r="C92" s="15" t="s">
        <v>770</v>
      </c>
      <c r="D92" s="19">
        <v>0</v>
      </c>
      <c r="E92" s="39"/>
      <c r="F92" s="20"/>
      <c r="G92" s="39"/>
      <c r="H92" s="19">
        <v>272514107</v>
      </c>
      <c r="I92" s="39"/>
      <c r="J92" s="19">
        <v>272514107</v>
      </c>
      <c r="K92" s="257"/>
      <c r="L92" s="238">
        <f t="shared" si="1"/>
        <v>0</v>
      </c>
      <c r="M92" s="39"/>
      <c r="N92" s="20"/>
      <c r="O92" s="39"/>
    </row>
    <row r="93" spans="1:15" ht="15">
      <c r="A93" s="20"/>
      <c r="B93" s="42"/>
      <c r="C93" s="15" t="s">
        <v>116</v>
      </c>
      <c r="D93" s="19">
        <v>1560524488</v>
      </c>
      <c r="E93" s="39"/>
      <c r="F93" s="19"/>
      <c r="G93" s="39"/>
      <c r="H93" s="19">
        <f>31975195324-H94-H95-H96-H97</f>
        <v>23662824220</v>
      </c>
      <c r="I93" s="39"/>
      <c r="J93" s="19">
        <f>36909615413-J94-J95-J96-J97</f>
        <v>23253724378</v>
      </c>
      <c r="K93" s="257"/>
      <c r="L93" s="238">
        <f t="shared" si="1"/>
        <v>1969624330</v>
      </c>
      <c r="M93" s="39"/>
      <c r="N93" s="19"/>
      <c r="O93" s="39"/>
    </row>
    <row r="94" spans="1:15" ht="17.25" hidden="1">
      <c r="A94" s="20"/>
      <c r="B94" s="42"/>
      <c r="C94" s="15" t="s">
        <v>48</v>
      </c>
      <c r="D94" s="19">
        <v>0</v>
      </c>
      <c r="E94" s="39"/>
      <c r="F94" s="19"/>
      <c r="G94" s="39"/>
      <c r="H94" s="19"/>
      <c r="I94" s="39"/>
      <c r="J94" s="19"/>
      <c r="K94" s="257"/>
      <c r="L94" s="238">
        <f>D94+H94-J94</f>
        <v>0</v>
      </c>
      <c r="M94" s="39"/>
      <c r="N94" s="19"/>
      <c r="O94" s="39"/>
    </row>
    <row r="95" spans="1:15" ht="15">
      <c r="A95" s="20"/>
      <c r="B95" s="42"/>
      <c r="C95" s="15" t="s">
        <v>478</v>
      </c>
      <c r="D95" s="19">
        <v>321617183</v>
      </c>
      <c r="E95" s="39"/>
      <c r="F95" s="19"/>
      <c r="G95" s="39"/>
      <c r="H95" s="19">
        <v>6126333784</v>
      </c>
      <c r="I95" s="39"/>
      <c r="J95" s="19">
        <v>6181596576</v>
      </c>
      <c r="K95" s="257"/>
      <c r="L95" s="238">
        <f>D95+H95-J95</f>
        <v>266354391</v>
      </c>
      <c r="M95" s="39"/>
      <c r="N95" s="19"/>
      <c r="O95" s="39"/>
    </row>
    <row r="96" spans="1:15" ht="15">
      <c r="A96" s="20"/>
      <c r="B96" s="42"/>
      <c r="C96" s="15" t="s">
        <v>526</v>
      </c>
      <c r="D96" s="19">
        <v>0</v>
      </c>
      <c r="E96" s="39"/>
      <c r="F96" s="19"/>
      <c r="G96" s="39"/>
      <c r="H96" s="19">
        <v>456519744</v>
      </c>
      <c r="I96" s="39"/>
      <c r="J96" s="19">
        <v>456519744</v>
      </c>
      <c r="K96" s="257"/>
      <c r="L96" s="238">
        <f t="shared" si="1"/>
        <v>0</v>
      </c>
      <c r="M96" s="39"/>
      <c r="N96" s="19"/>
      <c r="O96" s="39"/>
    </row>
    <row r="97" spans="1:15" ht="15">
      <c r="A97" s="20"/>
      <c r="B97" s="42"/>
      <c r="C97" s="15" t="s">
        <v>154</v>
      </c>
      <c r="D97" s="19">
        <v>5288257139</v>
      </c>
      <c r="E97" s="39"/>
      <c r="F97" s="19"/>
      <c r="G97" s="39"/>
      <c r="H97" s="19">
        <v>1729517576</v>
      </c>
      <c r="I97" s="39"/>
      <c r="J97" s="19">
        <v>7017774715</v>
      </c>
      <c r="K97" s="257"/>
      <c r="L97" s="238">
        <f t="shared" si="1"/>
        <v>0</v>
      </c>
      <c r="M97" s="39"/>
      <c r="N97" s="19"/>
      <c r="O97" s="39"/>
    </row>
    <row r="98" spans="1:15" ht="15">
      <c r="A98" s="20"/>
      <c r="B98" s="20"/>
      <c r="C98" s="15"/>
      <c r="D98" s="19"/>
      <c r="E98" s="39"/>
      <c r="F98" s="20"/>
      <c r="G98" s="39"/>
      <c r="H98" s="19"/>
      <c r="I98" s="39"/>
      <c r="J98" s="19"/>
      <c r="K98" s="39"/>
      <c r="L98" s="19"/>
      <c r="M98" s="39"/>
      <c r="N98" s="20"/>
      <c r="O98" s="39"/>
    </row>
    <row r="99" spans="1:15" ht="15.75">
      <c r="A99" s="40">
        <v>155</v>
      </c>
      <c r="B99" s="20"/>
      <c r="C99" s="2" t="s">
        <v>117</v>
      </c>
      <c r="D99" s="28">
        <f>SUM(D100:D104)</f>
        <v>18834884509</v>
      </c>
      <c r="E99" s="39"/>
      <c r="F99" s="20"/>
      <c r="G99" s="39"/>
      <c r="H99" s="28">
        <f>SUM(H100:H104)</f>
        <v>266857269928</v>
      </c>
      <c r="I99" s="41"/>
      <c r="J99" s="28">
        <f>SUM(J100:J104)</f>
        <v>261357065758</v>
      </c>
      <c r="K99" s="261"/>
      <c r="L99" s="260">
        <f>SUM(L100:L104)</f>
        <v>24335088679</v>
      </c>
      <c r="M99" s="39"/>
      <c r="N99" s="20"/>
      <c r="O99" s="39"/>
    </row>
    <row r="100" spans="1:15" ht="17.25" hidden="1">
      <c r="A100" s="20"/>
      <c r="B100" s="42"/>
      <c r="C100" s="15" t="s">
        <v>118</v>
      </c>
      <c r="D100" s="19">
        <v>7538773285</v>
      </c>
      <c r="E100" s="39"/>
      <c r="F100" s="20"/>
      <c r="G100" s="39"/>
      <c r="H100" s="19">
        <v>67182416595</v>
      </c>
      <c r="I100" s="39"/>
      <c r="J100" s="19">
        <v>64901004036</v>
      </c>
      <c r="K100" s="257"/>
      <c r="L100" s="238">
        <f>D100+H100-J100</f>
        <v>9820185844</v>
      </c>
      <c r="M100" s="39"/>
      <c r="N100" s="20"/>
      <c r="O100" s="39"/>
    </row>
    <row r="101" spans="1:15" ht="17.25" hidden="1">
      <c r="A101" s="20"/>
      <c r="B101" s="42"/>
      <c r="C101" s="15" t="s">
        <v>170</v>
      </c>
      <c r="D101" s="19">
        <v>11042875865</v>
      </c>
      <c r="E101" s="39"/>
      <c r="F101" s="20"/>
      <c r="G101" s="39"/>
      <c r="H101" s="358">
        <v>177865031769</v>
      </c>
      <c r="I101" s="359"/>
      <c r="J101" s="358">
        <v>175353835629</v>
      </c>
      <c r="K101" s="257"/>
      <c r="L101" s="238">
        <f>D101+H101-J101</f>
        <v>13554072005</v>
      </c>
      <c r="M101" s="39"/>
      <c r="N101" s="20"/>
      <c r="O101" s="39"/>
    </row>
    <row r="102" spans="1:15" ht="17.25" hidden="1">
      <c r="A102" s="20"/>
      <c r="B102" s="42"/>
      <c r="C102" s="15" t="s">
        <v>483</v>
      </c>
      <c r="D102" s="19">
        <v>253235359</v>
      </c>
      <c r="E102" s="39"/>
      <c r="F102" s="20"/>
      <c r="G102" s="39"/>
      <c r="H102" s="19">
        <v>14145201646</v>
      </c>
      <c r="I102" s="39"/>
      <c r="J102" s="19">
        <v>15672665215</v>
      </c>
      <c r="K102" s="257"/>
      <c r="L102" s="238">
        <f>D102+H102-J102</f>
        <v>-1274228210</v>
      </c>
      <c r="M102" s="39"/>
      <c r="N102" s="20"/>
      <c r="O102" s="39"/>
    </row>
    <row r="103" spans="1:15" ht="17.25" hidden="1">
      <c r="A103" s="20"/>
      <c r="B103" s="42"/>
      <c r="C103" s="15" t="s">
        <v>1163</v>
      </c>
      <c r="D103" s="19">
        <v>0</v>
      </c>
      <c r="E103" s="39"/>
      <c r="F103" s="20"/>
      <c r="G103" s="39"/>
      <c r="H103" s="19">
        <v>7664619918</v>
      </c>
      <c r="I103" s="39"/>
      <c r="J103" s="19">
        <v>5429560878</v>
      </c>
      <c r="K103" s="257"/>
      <c r="L103" s="238">
        <f>D103+H103-J103</f>
        <v>2235059040</v>
      </c>
      <c r="M103" s="39"/>
      <c r="N103" s="20"/>
      <c r="O103" s="39"/>
    </row>
    <row r="104" spans="1:15" ht="17.25" hidden="1">
      <c r="A104" s="20"/>
      <c r="B104" s="42"/>
      <c r="C104" s="15" t="s">
        <v>119</v>
      </c>
      <c r="D104" s="19">
        <v>0</v>
      </c>
      <c r="E104" s="39"/>
      <c r="F104" s="20"/>
      <c r="G104" s="39"/>
      <c r="H104" s="19"/>
      <c r="I104" s="39"/>
      <c r="J104" s="19"/>
      <c r="K104" s="257"/>
      <c r="L104" s="238">
        <f>D104+H104-J104</f>
        <v>0</v>
      </c>
      <c r="M104" s="39"/>
      <c r="N104" s="20"/>
      <c r="O104" s="39"/>
    </row>
    <row r="105" spans="1:15" ht="15">
      <c r="A105" s="20"/>
      <c r="B105" s="42"/>
      <c r="C105" s="15"/>
      <c r="D105" s="19"/>
      <c r="E105" s="39"/>
      <c r="F105" s="20"/>
      <c r="G105" s="39"/>
      <c r="H105" s="19"/>
      <c r="I105" s="39"/>
      <c r="J105" s="19"/>
      <c r="K105" s="257"/>
      <c r="L105" s="238"/>
      <c r="M105" s="39"/>
      <c r="N105" s="20"/>
      <c r="O105" s="39"/>
    </row>
    <row r="106" spans="1:15" ht="15.75">
      <c r="A106" s="40">
        <v>156</v>
      </c>
      <c r="B106" s="20"/>
      <c r="C106" s="2" t="s">
        <v>495</v>
      </c>
      <c r="D106" s="28">
        <f>SUM(D107:D108)</f>
        <v>808001389</v>
      </c>
      <c r="E106" s="39"/>
      <c r="F106" s="28"/>
      <c r="G106" s="39"/>
      <c r="H106" s="28">
        <f>SUM(H107:H108)</f>
        <v>9965089344</v>
      </c>
      <c r="I106" s="39"/>
      <c r="J106" s="28">
        <f>SUM(J107:J108)</f>
        <v>10134001945</v>
      </c>
      <c r="K106" s="257"/>
      <c r="L106" s="260">
        <f>SUM(L107:L108)-SUM(N107:N108)</f>
        <v>639088788</v>
      </c>
      <c r="M106" s="39"/>
      <c r="N106" s="28"/>
      <c r="O106" s="39"/>
    </row>
    <row r="107" spans="1:15" ht="15.75">
      <c r="A107" s="40"/>
      <c r="B107" s="20"/>
      <c r="C107" s="15" t="s">
        <v>522</v>
      </c>
      <c r="D107" s="19">
        <v>781684553</v>
      </c>
      <c r="E107" s="39"/>
      <c r="F107" s="19"/>
      <c r="G107" s="39"/>
      <c r="H107" s="19">
        <v>9788049125</v>
      </c>
      <c r="I107" s="39"/>
      <c r="J107" s="19">
        <v>10134001945</v>
      </c>
      <c r="K107" s="257"/>
      <c r="L107" s="238">
        <f>D107+H107-J107</f>
        <v>435731733</v>
      </c>
      <c r="M107" s="39"/>
      <c r="N107" s="19"/>
      <c r="O107" s="39"/>
    </row>
    <row r="108" spans="1:15" ht="15.75">
      <c r="A108" s="40"/>
      <c r="B108" s="20"/>
      <c r="C108" s="15" t="s">
        <v>525</v>
      </c>
      <c r="D108" s="19">
        <v>26316836</v>
      </c>
      <c r="E108" s="39"/>
      <c r="F108" s="19"/>
      <c r="G108" s="39"/>
      <c r="H108" s="19">
        <v>177040219</v>
      </c>
      <c r="I108" s="39"/>
      <c r="J108" s="19"/>
      <c r="K108" s="257"/>
      <c r="L108" s="238">
        <f>D108+H108-J108</f>
        <v>203357055</v>
      </c>
      <c r="M108" s="39"/>
      <c r="N108" s="19"/>
      <c r="O108" s="39"/>
    </row>
    <row r="109" spans="1:15" ht="17.25" hidden="1">
      <c r="A109" s="20"/>
      <c r="B109" s="42"/>
      <c r="C109" s="15"/>
      <c r="D109" s="19"/>
      <c r="E109" s="39"/>
      <c r="F109" s="20"/>
      <c r="G109" s="39"/>
      <c r="H109" s="19"/>
      <c r="I109" s="39"/>
      <c r="J109" s="19"/>
      <c r="K109" s="39"/>
      <c r="L109" s="19"/>
      <c r="M109" s="39"/>
      <c r="N109" s="20"/>
      <c r="O109" s="39"/>
    </row>
    <row r="110" spans="1:15" ht="18" hidden="1">
      <c r="A110" s="40">
        <v>157</v>
      </c>
      <c r="B110" s="20"/>
      <c r="C110" s="2" t="s">
        <v>494</v>
      </c>
      <c r="D110" s="28">
        <v>0</v>
      </c>
      <c r="E110" s="39"/>
      <c r="F110" s="28"/>
      <c r="G110" s="39"/>
      <c r="H110" s="28">
        <v>0</v>
      </c>
      <c r="I110" s="39"/>
      <c r="J110" s="28">
        <v>0</v>
      </c>
      <c r="K110" s="39"/>
      <c r="L110" s="28">
        <f>D110+H110-J110</f>
        <v>0</v>
      </c>
      <c r="M110" s="39"/>
      <c r="N110" s="28"/>
      <c r="O110" s="39"/>
    </row>
    <row r="111" spans="1:15" ht="17.25" hidden="1">
      <c r="A111" s="20"/>
      <c r="B111" s="42"/>
      <c r="C111" s="15"/>
      <c r="D111" s="19"/>
      <c r="E111" s="39"/>
      <c r="F111" s="20"/>
      <c r="G111" s="39"/>
      <c r="H111" s="19"/>
      <c r="I111" s="39"/>
      <c r="J111" s="19"/>
      <c r="K111" s="39"/>
      <c r="L111" s="19"/>
      <c r="M111" s="39"/>
      <c r="N111" s="20"/>
      <c r="O111" s="39"/>
    </row>
    <row r="112" spans="1:15" ht="18" hidden="1">
      <c r="A112" s="40">
        <v>158</v>
      </c>
      <c r="B112" s="20"/>
      <c r="C112" s="2" t="s">
        <v>49</v>
      </c>
      <c r="D112" s="28">
        <v>0</v>
      </c>
      <c r="E112" s="39"/>
      <c r="F112" s="28"/>
      <c r="G112" s="39"/>
      <c r="H112" s="28">
        <v>0</v>
      </c>
      <c r="I112" s="39"/>
      <c r="J112" s="28">
        <v>0</v>
      </c>
      <c r="K112" s="39"/>
      <c r="L112" s="28">
        <f>D112+H112-J112</f>
        <v>0</v>
      </c>
      <c r="M112" s="39"/>
      <c r="N112" s="28"/>
      <c r="O112" s="39"/>
    </row>
    <row r="113" spans="1:15" ht="17.25" hidden="1">
      <c r="A113" s="20"/>
      <c r="B113" s="42"/>
      <c r="C113" s="15"/>
      <c r="D113" s="19"/>
      <c r="E113" s="39"/>
      <c r="F113" s="20"/>
      <c r="G113" s="39"/>
      <c r="H113" s="19"/>
      <c r="I113" s="39"/>
      <c r="J113" s="19"/>
      <c r="K113" s="39"/>
      <c r="L113" s="19"/>
      <c r="M113" s="39"/>
      <c r="N113" s="20"/>
      <c r="O113" s="39"/>
    </row>
    <row r="114" spans="1:15" ht="15">
      <c r="A114" s="20"/>
      <c r="B114" s="42"/>
      <c r="C114" s="15"/>
      <c r="D114" s="19"/>
      <c r="E114" s="39"/>
      <c r="F114" s="20"/>
      <c r="G114" s="39"/>
      <c r="H114" s="19"/>
      <c r="I114" s="39"/>
      <c r="J114" s="19"/>
      <c r="K114" s="39"/>
      <c r="L114" s="19"/>
      <c r="M114" s="39"/>
      <c r="N114" s="20"/>
      <c r="O114" s="39"/>
    </row>
    <row r="115" spans="1:15" ht="15.75">
      <c r="A115" s="40">
        <v>159</v>
      </c>
      <c r="B115" s="20"/>
      <c r="C115" s="2" t="s">
        <v>493</v>
      </c>
      <c r="D115" s="28"/>
      <c r="E115" s="39"/>
      <c r="F115" s="28">
        <v>0</v>
      </c>
      <c r="G115" s="39"/>
      <c r="H115" s="28">
        <v>0</v>
      </c>
      <c r="I115" s="39"/>
      <c r="J115" s="28">
        <v>0</v>
      </c>
      <c r="K115" s="257"/>
      <c r="L115" s="260"/>
      <c r="M115" s="257"/>
      <c r="N115" s="260">
        <f>J115+F115-H115</f>
        <v>0</v>
      </c>
      <c r="O115" s="39"/>
    </row>
    <row r="116" spans="1:15" ht="15">
      <c r="A116" s="20"/>
      <c r="B116" s="42"/>
      <c r="C116" s="15"/>
      <c r="D116" s="19"/>
      <c r="E116" s="39"/>
      <c r="F116" s="20"/>
      <c r="G116" s="39"/>
      <c r="H116" s="19"/>
      <c r="I116" s="39"/>
      <c r="J116" s="19"/>
      <c r="K116" s="39"/>
      <c r="L116" s="19"/>
      <c r="M116" s="39"/>
      <c r="N116" s="20"/>
      <c r="O116" s="39"/>
    </row>
    <row r="117" spans="1:15" ht="15.75">
      <c r="A117" s="40">
        <v>161</v>
      </c>
      <c r="B117" s="42"/>
      <c r="C117" s="2" t="s">
        <v>123</v>
      </c>
      <c r="D117" s="28">
        <v>0</v>
      </c>
      <c r="E117" s="39"/>
      <c r="F117" s="20"/>
      <c r="G117" s="39"/>
      <c r="H117" s="28">
        <v>558841953</v>
      </c>
      <c r="I117" s="39"/>
      <c r="J117" s="28">
        <v>558841953</v>
      </c>
      <c r="K117" s="257"/>
      <c r="L117" s="260">
        <f>D117+H117-J117</f>
        <v>0</v>
      </c>
      <c r="M117" s="39"/>
      <c r="N117" s="20"/>
      <c r="O117" s="39"/>
    </row>
    <row r="118" spans="1:15" ht="17.25" hidden="1">
      <c r="A118" s="20"/>
      <c r="B118" s="20"/>
      <c r="C118" s="15"/>
      <c r="D118" s="20"/>
      <c r="E118" s="39"/>
      <c r="F118" s="20"/>
      <c r="G118" s="39"/>
      <c r="H118" s="20"/>
      <c r="I118" s="39"/>
      <c r="J118" s="20"/>
      <c r="K118" s="39"/>
      <c r="L118" s="20"/>
      <c r="M118" s="39"/>
      <c r="N118" s="20"/>
      <c r="O118" s="39"/>
    </row>
    <row r="119" spans="1:15" ht="15.75">
      <c r="A119" s="20"/>
      <c r="B119" s="20"/>
      <c r="C119" s="2" t="s">
        <v>487</v>
      </c>
      <c r="D119" s="20"/>
      <c r="E119" s="39"/>
      <c r="F119" s="20"/>
      <c r="G119" s="39"/>
      <c r="H119" s="20"/>
      <c r="I119" s="39"/>
      <c r="J119" s="20"/>
      <c r="K119" s="39"/>
      <c r="L119" s="20"/>
      <c r="M119" s="39"/>
      <c r="N119" s="20"/>
      <c r="O119" s="39"/>
    </row>
    <row r="120" spans="1:15" ht="15.75">
      <c r="A120" s="40">
        <v>211</v>
      </c>
      <c r="B120" s="20"/>
      <c r="C120" s="2" t="s">
        <v>124</v>
      </c>
      <c r="D120" s="28">
        <v>434411279221</v>
      </c>
      <c r="E120" s="39"/>
      <c r="F120" s="19"/>
      <c r="G120" s="39"/>
      <c r="H120" s="28">
        <v>9535112296</v>
      </c>
      <c r="I120" s="44"/>
      <c r="J120" s="28">
        <v>19398604252</v>
      </c>
      <c r="K120" s="257"/>
      <c r="L120" s="260">
        <f>D120+H120-J120</f>
        <v>424547787265</v>
      </c>
      <c r="M120" s="147"/>
      <c r="N120" s="72"/>
      <c r="O120" s="39"/>
    </row>
    <row r="121" spans="1:15" ht="15.75">
      <c r="A121" s="40"/>
      <c r="B121" s="20"/>
      <c r="C121" s="15"/>
      <c r="D121" s="19"/>
      <c r="E121" s="39"/>
      <c r="F121" s="20"/>
      <c r="G121" s="39"/>
      <c r="H121" s="19"/>
      <c r="I121" s="39"/>
      <c r="J121" s="19"/>
      <c r="K121" s="147"/>
      <c r="L121" s="72"/>
      <c r="M121" s="147"/>
      <c r="N121" s="145"/>
      <c r="O121" s="39"/>
    </row>
    <row r="122" spans="1:15" ht="18" hidden="1">
      <c r="A122" s="40">
        <v>212</v>
      </c>
      <c r="B122" s="20"/>
      <c r="C122" s="2" t="s">
        <v>484</v>
      </c>
      <c r="D122" s="28">
        <v>0</v>
      </c>
      <c r="E122" s="39"/>
      <c r="F122" s="19"/>
      <c r="G122" s="39"/>
      <c r="H122" s="28"/>
      <c r="I122" s="44"/>
      <c r="J122" s="28"/>
      <c r="K122" s="147"/>
      <c r="L122" s="146">
        <f>D122+H122-J122</f>
        <v>0</v>
      </c>
      <c r="M122" s="147"/>
      <c r="N122" s="145"/>
      <c r="O122" s="39"/>
    </row>
    <row r="123" spans="1:15" ht="18" hidden="1">
      <c r="A123" s="40"/>
      <c r="B123" s="20"/>
      <c r="C123" s="15"/>
      <c r="D123" s="19"/>
      <c r="E123" s="39"/>
      <c r="F123" s="20"/>
      <c r="G123" s="39"/>
      <c r="H123" s="19"/>
      <c r="I123" s="39"/>
      <c r="J123" s="19"/>
      <c r="K123" s="147"/>
      <c r="L123" s="72"/>
      <c r="M123" s="147"/>
      <c r="N123" s="145"/>
      <c r="O123" s="39"/>
    </row>
    <row r="124" spans="1:15" ht="18" hidden="1">
      <c r="A124" s="40">
        <v>213</v>
      </c>
      <c r="B124" s="20"/>
      <c r="C124" s="2" t="s">
        <v>485</v>
      </c>
      <c r="D124" s="28"/>
      <c r="E124" s="39"/>
      <c r="F124" s="19"/>
      <c r="G124" s="39"/>
      <c r="H124" s="28">
        <v>0</v>
      </c>
      <c r="I124" s="44"/>
      <c r="J124" s="28">
        <v>0</v>
      </c>
      <c r="K124" s="147"/>
      <c r="L124" s="146">
        <f>D124+H124-J124</f>
        <v>0</v>
      </c>
      <c r="M124" s="147"/>
      <c r="N124" s="145"/>
      <c r="O124" s="39"/>
    </row>
    <row r="125" spans="1:15" ht="18" hidden="1">
      <c r="A125" s="40"/>
      <c r="B125" s="20"/>
      <c r="C125" s="15"/>
      <c r="D125" s="19"/>
      <c r="E125" s="39"/>
      <c r="F125" s="20"/>
      <c r="G125" s="39"/>
      <c r="H125" s="19"/>
      <c r="I125" s="39"/>
      <c r="J125" s="19"/>
      <c r="K125" s="147"/>
      <c r="L125" s="72"/>
      <c r="M125" s="147"/>
      <c r="N125" s="145"/>
      <c r="O125" s="39"/>
    </row>
    <row r="126" spans="1:15" ht="15.75">
      <c r="A126" s="40">
        <v>214</v>
      </c>
      <c r="B126" s="20"/>
      <c r="C126" s="2" t="s">
        <v>125</v>
      </c>
      <c r="D126" s="20"/>
      <c r="E126" s="39"/>
      <c r="F126" s="28">
        <v>174590788544</v>
      </c>
      <c r="G126" s="39"/>
      <c r="H126" s="28">
        <v>9857358480</v>
      </c>
      <c r="I126" s="39"/>
      <c r="J126" s="28">
        <v>15765105859</v>
      </c>
      <c r="K126" s="257"/>
      <c r="L126" s="258"/>
      <c r="M126" s="257"/>
      <c r="N126" s="260">
        <f>F126+J126-H126</f>
        <v>180498535923</v>
      </c>
      <c r="O126" s="39"/>
    </row>
    <row r="127" spans="1:15" ht="18" hidden="1">
      <c r="A127" s="40"/>
      <c r="B127" s="20"/>
      <c r="C127" s="2"/>
      <c r="D127" s="20"/>
      <c r="E127" s="39"/>
      <c r="F127" s="28"/>
      <c r="G127" s="39"/>
      <c r="H127" s="28"/>
      <c r="I127" s="39"/>
      <c r="J127" s="28"/>
      <c r="K127" s="39"/>
      <c r="L127" s="20"/>
      <c r="M127" s="39"/>
      <c r="N127" s="28"/>
      <c r="O127" s="39"/>
    </row>
    <row r="128" spans="1:15" ht="18" hidden="1">
      <c r="A128" s="40">
        <v>217</v>
      </c>
      <c r="B128" s="20"/>
      <c r="C128" s="2" t="s">
        <v>492</v>
      </c>
      <c r="D128" s="28">
        <v>0</v>
      </c>
      <c r="E128" s="39"/>
      <c r="F128" s="19"/>
      <c r="G128" s="39"/>
      <c r="H128" s="28"/>
      <c r="I128" s="44"/>
      <c r="J128" s="28"/>
      <c r="K128" s="39"/>
      <c r="L128" s="28">
        <f>D128+H128-J128</f>
        <v>0</v>
      </c>
      <c r="M128" s="39"/>
      <c r="N128" s="20"/>
      <c r="O128" s="39"/>
    </row>
    <row r="129" spans="1:15" ht="18" hidden="1">
      <c r="A129" s="40"/>
      <c r="B129" s="20"/>
      <c r="C129" s="2"/>
      <c r="D129" s="20"/>
      <c r="E129" s="39"/>
      <c r="F129" s="28"/>
      <c r="G129" s="39"/>
      <c r="H129" s="28"/>
      <c r="I129" s="39"/>
      <c r="J129" s="28"/>
      <c r="K129" s="39"/>
      <c r="L129" s="20"/>
      <c r="M129" s="39"/>
      <c r="N129" s="28"/>
      <c r="O129" s="39"/>
    </row>
    <row r="130" spans="1:15" ht="18" hidden="1">
      <c r="A130" s="40">
        <v>221</v>
      </c>
      <c r="B130" s="20"/>
      <c r="C130" s="2" t="s">
        <v>486</v>
      </c>
      <c r="D130" s="28">
        <v>0</v>
      </c>
      <c r="E130" s="39"/>
      <c r="F130" s="28"/>
      <c r="G130" s="39"/>
      <c r="H130" s="28"/>
      <c r="I130" s="39"/>
      <c r="J130" s="28"/>
      <c r="K130" s="39"/>
      <c r="L130" s="28">
        <f>D130+H130-J130</f>
        <v>0</v>
      </c>
      <c r="M130" s="39"/>
      <c r="N130" s="28"/>
      <c r="O130" s="39"/>
    </row>
    <row r="131" spans="1:15" ht="17.25" hidden="1">
      <c r="A131" s="20"/>
      <c r="B131" s="42"/>
      <c r="C131" s="15"/>
      <c r="D131" s="20"/>
      <c r="E131" s="39"/>
      <c r="F131" s="19"/>
      <c r="G131" s="39"/>
      <c r="H131" s="19"/>
      <c r="I131" s="43"/>
      <c r="J131" s="19"/>
      <c r="K131" s="39"/>
      <c r="L131" s="20"/>
      <c r="M131" s="39"/>
      <c r="N131" s="19"/>
      <c r="O131" s="39"/>
    </row>
    <row r="132" spans="1:15" ht="18" hidden="1">
      <c r="A132" s="40">
        <v>222</v>
      </c>
      <c r="B132" s="42"/>
      <c r="C132" s="2" t="s">
        <v>453</v>
      </c>
      <c r="D132" s="28">
        <v>0</v>
      </c>
      <c r="E132" s="39"/>
      <c r="F132" s="19"/>
      <c r="G132" s="39"/>
      <c r="H132" s="28">
        <v>0</v>
      </c>
      <c r="I132" s="43"/>
      <c r="J132" s="28">
        <v>0</v>
      </c>
      <c r="K132" s="39"/>
      <c r="L132" s="28">
        <f>D132+H132-J132</f>
        <v>0</v>
      </c>
      <c r="M132" s="39"/>
      <c r="N132" s="19"/>
      <c r="O132" s="39"/>
    </row>
    <row r="133" spans="1:15" ht="15">
      <c r="A133" s="20"/>
      <c r="B133" s="20"/>
      <c r="C133" s="15"/>
      <c r="D133" s="20"/>
      <c r="E133" s="39"/>
      <c r="F133" s="20"/>
      <c r="G133" s="39"/>
      <c r="H133" s="20"/>
      <c r="I133" s="39"/>
      <c r="J133" s="20"/>
      <c r="K133" s="39"/>
      <c r="L133" s="20"/>
      <c r="M133" s="39"/>
      <c r="N133" s="20"/>
      <c r="O133" s="39"/>
    </row>
    <row r="134" spans="1:15" ht="15.75">
      <c r="A134" s="40">
        <v>223</v>
      </c>
      <c r="B134" s="20"/>
      <c r="C134" s="2" t="s">
        <v>50</v>
      </c>
      <c r="D134" s="28">
        <v>10500000000</v>
      </c>
      <c r="E134" s="39"/>
      <c r="F134" s="28"/>
      <c r="G134" s="39"/>
      <c r="H134" s="28">
        <v>0</v>
      </c>
      <c r="I134" s="39"/>
      <c r="J134" s="28">
        <v>0</v>
      </c>
      <c r="K134" s="257"/>
      <c r="L134" s="260">
        <f>D134+H134-J134</f>
        <v>10500000000</v>
      </c>
      <c r="M134" s="39"/>
      <c r="N134" s="28"/>
      <c r="O134" s="39"/>
    </row>
    <row r="135" spans="1:15" ht="15">
      <c r="A135" s="20"/>
      <c r="B135" s="20"/>
      <c r="C135" s="15"/>
      <c r="D135" s="20"/>
      <c r="E135" s="39"/>
      <c r="F135" s="20"/>
      <c r="G135" s="39"/>
      <c r="H135" s="20"/>
      <c r="I135" s="39"/>
      <c r="J135" s="20"/>
      <c r="K135" s="39"/>
      <c r="L135" s="20"/>
      <c r="M135" s="39"/>
      <c r="N135" s="20"/>
      <c r="O135" s="39"/>
    </row>
    <row r="136" spans="1:15" ht="15.75">
      <c r="A136" s="40">
        <v>228</v>
      </c>
      <c r="B136" s="20"/>
      <c r="C136" s="2" t="s">
        <v>126</v>
      </c>
      <c r="D136" s="28">
        <f>SUM(D137:D139)</f>
        <v>119468953550</v>
      </c>
      <c r="E136" s="39"/>
      <c r="F136" s="20"/>
      <c r="G136" s="39"/>
      <c r="H136" s="28">
        <f>SUM(H137:H139)</f>
        <v>6840000000</v>
      </c>
      <c r="I136" s="39"/>
      <c r="J136" s="28">
        <f>SUM(J137:J139)</f>
        <v>554400000</v>
      </c>
      <c r="K136" s="257"/>
      <c r="L136" s="260">
        <f>SUM(L137:L139)</f>
        <v>125754553550</v>
      </c>
      <c r="M136" s="39"/>
      <c r="N136" s="20"/>
      <c r="O136" s="39"/>
    </row>
    <row r="137" spans="1:15" ht="17.25" hidden="1">
      <c r="A137" s="20"/>
      <c r="B137" s="20"/>
      <c r="C137" s="15" t="s">
        <v>52</v>
      </c>
      <c r="D137" s="19">
        <v>0</v>
      </c>
      <c r="E137" s="43"/>
      <c r="F137" s="19"/>
      <c r="G137" s="43"/>
      <c r="H137" s="19">
        <v>0</v>
      </c>
      <c r="I137" s="43"/>
      <c r="J137" s="19">
        <v>0</v>
      </c>
      <c r="K137" s="257"/>
      <c r="L137" s="238">
        <f>D137+H137-J137</f>
        <v>0</v>
      </c>
      <c r="M137" s="39"/>
      <c r="N137" s="20"/>
      <c r="O137" s="39"/>
    </row>
    <row r="138" spans="1:15" ht="15">
      <c r="A138" s="20"/>
      <c r="B138" s="20"/>
      <c r="C138" s="15" t="s">
        <v>51</v>
      </c>
      <c r="D138" s="19">
        <v>554400000</v>
      </c>
      <c r="E138" s="43"/>
      <c r="F138" s="19"/>
      <c r="G138" s="43"/>
      <c r="H138" s="19">
        <v>0</v>
      </c>
      <c r="I138" s="43"/>
      <c r="J138" s="19">
        <v>554400000</v>
      </c>
      <c r="K138" s="257"/>
      <c r="L138" s="238">
        <f>D138+H138-J138</f>
        <v>0</v>
      </c>
      <c r="M138" s="39"/>
      <c r="N138" s="20"/>
      <c r="O138" s="39"/>
    </row>
    <row r="139" spans="1:15" ht="15">
      <c r="A139" s="20"/>
      <c r="B139" s="20"/>
      <c r="C139" s="15" t="s">
        <v>126</v>
      </c>
      <c r="D139" s="19">
        <v>118914553550</v>
      </c>
      <c r="E139" s="43"/>
      <c r="F139" s="19"/>
      <c r="G139" s="43"/>
      <c r="H139" s="19">
        <v>6840000000</v>
      </c>
      <c r="I139" s="43"/>
      <c r="J139" s="19">
        <v>0</v>
      </c>
      <c r="K139" s="257"/>
      <c r="L139" s="238">
        <f>D139+H139-J139</f>
        <v>125754553550</v>
      </c>
      <c r="M139" s="39"/>
      <c r="N139" s="20"/>
      <c r="O139" s="39"/>
    </row>
    <row r="140" spans="1:15" ht="15">
      <c r="A140" s="20"/>
      <c r="B140" s="20"/>
      <c r="C140" s="15"/>
      <c r="D140" s="20"/>
      <c r="E140" s="39"/>
      <c r="F140" s="20"/>
      <c r="G140" s="39"/>
      <c r="H140" s="20"/>
      <c r="I140" s="39"/>
      <c r="J140" s="20"/>
      <c r="K140" s="147"/>
      <c r="L140" s="72"/>
      <c r="M140" s="39"/>
      <c r="N140" s="20"/>
      <c r="O140" s="39"/>
    </row>
    <row r="141" spans="1:15" ht="15.75">
      <c r="A141" s="40">
        <v>229</v>
      </c>
      <c r="B141" s="20"/>
      <c r="C141" s="2" t="s">
        <v>491</v>
      </c>
      <c r="D141" s="28"/>
      <c r="E141" s="39"/>
      <c r="F141" s="28">
        <v>558704371</v>
      </c>
      <c r="G141" s="39"/>
      <c r="H141" s="28">
        <v>0</v>
      </c>
      <c r="I141" s="39"/>
      <c r="J141" s="28">
        <v>0</v>
      </c>
      <c r="K141" s="257"/>
      <c r="L141" s="260"/>
      <c r="M141" s="257"/>
      <c r="N141" s="260">
        <f>J141+F141-H141</f>
        <v>558704371</v>
      </c>
      <c r="O141" s="39"/>
    </row>
    <row r="142" spans="1:15" ht="15">
      <c r="A142" s="20"/>
      <c r="B142" s="20"/>
      <c r="C142" s="15"/>
      <c r="D142" s="20"/>
      <c r="E142" s="39"/>
      <c r="F142" s="20"/>
      <c r="G142" s="39"/>
      <c r="H142" s="20"/>
      <c r="I142" s="39"/>
      <c r="J142" s="20"/>
      <c r="K142" s="147"/>
      <c r="L142" s="72"/>
      <c r="M142" s="39"/>
      <c r="N142" s="20"/>
      <c r="O142" s="39"/>
    </row>
    <row r="143" spans="1:15" ht="15.75">
      <c r="A143" s="40">
        <v>241</v>
      </c>
      <c r="B143" s="20"/>
      <c r="C143" s="2" t="s">
        <v>127</v>
      </c>
      <c r="D143" s="28">
        <v>63785942542</v>
      </c>
      <c r="E143" s="39"/>
      <c r="F143" s="20"/>
      <c r="G143" s="39"/>
      <c r="H143" s="28">
        <v>18571074165</v>
      </c>
      <c r="I143" s="39"/>
      <c r="J143" s="28">
        <v>9535112296</v>
      </c>
      <c r="K143" s="257"/>
      <c r="L143" s="260">
        <f>D143+H143-J143</f>
        <v>72821904411</v>
      </c>
      <c r="M143" s="39"/>
      <c r="N143" s="20"/>
      <c r="O143" s="39"/>
    </row>
    <row r="144" spans="1:15" ht="15.75">
      <c r="A144" s="241"/>
      <c r="B144" s="29"/>
      <c r="C144" s="137"/>
      <c r="D144" s="46"/>
      <c r="E144" s="47"/>
      <c r="F144" s="29"/>
      <c r="G144" s="47"/>
      <c r="H144" s="46"/>
      <c r="I144" s="47"/>
      <c r="J144" s="46"/>
      <c r="K144" s="310"/>
      <c r="L144" s="370"/>
      <c r="M144" s="47"/>
      <c r="N144" s="29"/>
      <c r="O144" s="47"/>
    </row>
    <row r="145" spans="1:15" ht="15.75">
      <c r="A145" s="228">
        <v>242</v>
      </c>
      <c r="B145" s="37"/>
      <c r="C145" s="3" t="s">
        <v>410</v>
      </c>
      <c r="D145" s="229">
        <v>32987267759</v>
      </c>
      <c r="E145" s="38"/>
      <c r="F145" s="37"/>
      <c r="G145" s="38"/>
      <c r="H145" s="229">
        <v>3716729993</v>
      </c>
      <c r="I145" s="38"/>
      <c r="J145" s="229">
        <v>15786559860</v>
      </c>
      <c r="K145" s="259"/>
      <c r="L145" s="266">
        <f>D145+H145-J145</f>
        <v>20917437892</v>
      </c>
      <c r="M145" s="38"/>
      <c r="N145" s="37"/>
      <c r="O145" s="38"/>
    </row>
    <row r="146" spans="1:15" ht="15.75">
      <c r="A146" s="40"/>
      <c r="B146" s="20"/>
      <c r="C146" s="2"/>
      <c r="D146" s="28"/>
      <c r="E146" s="39"/>
      <c r="F146" s="20"/>
      <c r="G146" s="39"/>
      <c r="H146" s="28"/>
      <c r="I146" s="39"/>
      <c r="J146" s="28"/>
      <c r="K146" s="39"/>
      <c r="L146" s="28"/>
      <c r="M146" s="39"/>
      <c r="N146" s="20"/>
      <c r="O146" s="39"/>
    </row>
    <row r="147" spans="1:15" ht="18" hidden="1">
      <c r="A147" s="40">
        <v>242</v>
      </c>
      <c r="B147" s="20"/>
      <c r="C147" s="2" t="s">
        <v>53</v>
      </c>
      <c r="D147" s="28">
        <v>0</v>
      </c>
      <c r="E147" s="39"/>
      <c r="F147" s="20"/>
      <c r="G147" s="39"/>
      <c r="H147" s="28"/>
      <c r="I147" s="39"/>
      <c r="J147" s="28"/>
      <c r="K147" s="39"/>
      <c r="L147" s="28">
        <f>D147+H147-J147</f>
        <v>0</v>
      </c>
      <c r="M147" s="39"/>
      <c r="N147" s="20"/>
      <c r="O147" s="39"/>
    </row>
    <row r="148" spans="1:15" ht="18" hidden="1">
      <c r="A148" s="40"/>
      <c r="B148" s="20"/>
      <c r="C148" s="2"/>
      <c r="D148" s="28"/>
      <c r="E148" s="39"/>
      <c r="F148" s="20"/>
      <c r="G148" s="39"/>
      <c r="H148" s="28"/>
      <c r="I148" s="39"/>
      <c r="J148" s="28"/>
      <c r="K148" s="39"/>
      <c r="L148" s="28"/>
      <c r="M148" s="39"/>
      <c r="N148" s="20"/>
      <c r="O148" s="39"/>
    </row>
    <row r="149" spans="1:15" ht="15.75">
      <c r="A149" s="40">
        <v>244</v>
      </c>
      <c r="B149" s="20"/>
      <c r="C149" s="2" t="s">
        <v>490</v>
      </c>
      <c r="D149" s="28">
        <v>0</v>
      </c>
      <c r="E149" s="39"/>
      <c r="F149" s="20"/>
      <c r="G149" s="39"/>
      <c r="H149" s="28">
        <v>20700000</v>
      </c>
      <c r="I149" s="39"/>
      <c r="J149" s="28"/>
      <c r="K149" s="39"/>
      <c r="L149" s="28">
        <f>D149+H149-J149</f>
        <v>20700000</v>
      </c>
      <c r="M149" s="39"/>
      <c r="N149" s="20"/>
      <c r="O149" s="39"/>
    </row>
    <row r="150" spans="1:15" ht="15.75">
      <c r="A150" s="40"/>
      <c r="B150" s="20"/>
      <c r="C150" s="2"/>
      <c r="D150" s="28"/>
      <c r="E150" s="39"/>
      <c r="F150" s="20"/>
      <c r="G150" s="39"/>
      <c r="H150" s="28"/>
      <c r="I150" s="39"/>
      <c r="J150" s="28"/>
      <c r="K150" s="39"/>
      <c r="L150" s="28"/>
      <c r="M150" s="39"/>
      <c r="N150" s="20"/>
      <c r="O150" s="39"/>
    </row>
    <row r="151" spans="1:15" ht="15.75">
      <c r="A151" s="20"/>
      <c r="B151" s="20"/>
      <c r="C151" s="2" t="s">
        <v>128</v>
      </c>
      <c r="D151" s="20"/>
      <c r="E151" s="39"/>
      <c r="F151" s="20"/>
      <c r="G151" s="39"/>
      <c r="H151" s="20"/>
      <c r="I151" s="39"/>
      <c r="J151" s="20"/>
      <c r="K151" s="39"/>
      <c r="L151" s="20"/>
      <c r="M151" s="39"/>
      <c r="N151" s="20"/>
      <c r="O151" s="39"/>
    </row>
    <row r="152" spans="1:15" ht="18" hidden="1">
      <c r="A152" s="20"/>
      <c r="B152" s="20"/>
      <c r="C152" s="2"/>
      <c r="D152" s="20"/>
      <c r="E152" s="39"/>
      <c r="F152" s="20"/>
      <c r="G152" s="39"/>
      <c r="H152" s="20"/>
      <c r="I152" s="39"/>
      <c r="J152" s="20"/>
      <c r="K152" s="39"/>
      <c r="L152" s="20"/>
      <c r="M152" s="39"/>
      <c r="N152" s="20"/>
      <c r="O152" s="39"/>
    </row>
    <row r="153" spans="1:15" ht="15.75">
      <c r="A153" s="40">
        <v>311</v>
      </c>
      <c r="B153" s="20"/>
      <c r="C153" s="2" t="s">
        <v>367</v>
      </c>
      <c r="D153" s="20"/>
      <c r="E153" s="39"/>
      <c r="F153" s="28">
        <v>1506930393</v>
      </c>
      <c r="G153" s="39"/>
      <c r="H153" s="28">
        <v>1506930393</v>
      </c>
      <c r="I153" s="44"/>
      <c r="J153" s="28">
        <v>0</v>
      </c>
      <c r="K153" s="257"/>
      <c r="L153" s="258"/>
      <c r="M153" s="257"/>
      <c r="N153" s="260">
        <f>F153+J153-H153</f>
        <v>0</v>
      </c>
      <c r="O153" s="39"/>
    </row>
    <row r="154" spans="1:15" ht="15.75">
      <c r="A154" s="20"/>
      <c r="B154" s="20"/>
      <c r="C154" s="2"/>
      <c r="D154" s="20"/>
      <c r="E154" s="39"/>
      <c r="F154" s="20"/>
      <c r="G154" s="39"/>
      <c r="H154" s="20"/>
      <c r="I154" s="39"/>
      <c r="J154" s="20"/>
      <c r="K154" s="39"/>
      <c r="L154" s="20"/>
      <c r="M154" s="39"/>
      <c r="N154" s="20"/>
      <c r="O154" s="39"/>
    </row>
    <row r="155" spans="1:15" ht="15.75">
      <c r="A155" s="40">
        <v>315</v>
      </c>
      <c r="B155" s="20"/>
      <c r="C155" s="2" t="s">
        <v>129</v>
      </c>
      <c r="D155" s="20"/>
      <c r="E155" s="39"/>
      <c r="F155" s="28">
        <v>10086802005</v>
      </c>
      <c r="G155" s="39"/>
      <c r="H155" s="28">
        <v>3257455293</v>
      </c>
      <c r="I155" s="39"/>
      <c r="J155" s="28">
        <v>0</v>
      </c>
      <c r="K155" s="257"/>
      <c r="L155" s="258"/>
      <c r="M155" s="257"/>
      <c r="N155" s="260">
        <f>F155+J155-H155</f>
        <v>6829346712</v>
      </c>
      <c r="O155" s="39"/>
    </row>
    <row r="156" spans="1:15" ht="15">
      <c r="A156" s="20"/>
      <c r="B156" s="20"/>
      <c r="C156" s="15"/>
      <c r="D156" s="20"/>
      <c r="E156" s="39"/>
      <c r="F156" s="20"/>
      <c r="G156" s="39"/>
      <c r="H156" s="20"/>
      <c r="I156" s="39"/>
      <c r="J156" s="20"/>
      <c r="K156" s="39"/>
      <c r="L156" s="20"/>
      <c r="M156" s="39"/>
      <c r="N156" s="20"/>
      <c r="O156" s="39"/>
    </row>
    <row r="157" spans="1:15" ht="15.75">
      <c r="A157" s="40">
        <v>331</v>
      </c>
      <c r="B157" s="20"/>
      <c r="C157" s="2" t="s">
        <v>130</v>
      </c>
      <c r="D157" s="28">
        <v>1440705187</v>
      </c>
      <c r="E157" s="39"/>
      <c r="F157" s="28"/>
      <c r="G157" s="39"/>
      <c r="H157" s="28">
        <v>95450670659</v>
      </c>
      <c r="I157" s="39"/>
      <c r="J157" s="28">
        <v>88810088385</v>
      </c>
      <c r="K157" s="257"/>
      <c r="L157" s="260">
        <f>D157+H157-J157</f>
        <v>8081287461</v>
      </c>
      <c r="M157" s="39"/>
      <c r="N157" s="28"/>
      <c r="O157" s="39"/>
    </row>
    <row r="158" spans="1:15" ht="15">
      <c r="A158" s="20"/>
      <c r="B158" s="20"/>
      <c r="C158" s="15" t="s">
        <v>131</v>
      </c>
      <c r="D158" s="72">
        <v>3210358438</v>
      </c>
      <c r="E158" s="39"/>
      <c r="F158" s="19"/>
      <c r="G158" s="39"/>
      <c r="H158" s="20"/>
      <c r="I158" s="39"/>
      <c r="J158" s="20"/>
      <c r="K158" s="39"/>
      <c r="L158" s="72">
        <v>9221284847</v>
      </c>
      <c r="M158" s="39"/>
      <c r="N158" s="19"/>
      <c r="O158" s="39"/>
    </row>
    <row r="159" spans="1:15" ht="15">
      <c r="A159" s="20"/>
      <c r="B159" s="20"/>
      <c r="C159" s="15" t="s">
        <v>132</v>
      </c>
      <c r="D159" s="19"/>
      <c r="E159" s="39"/>
      <c r="F159" s="72">
        <v>1769653251</v>
      </c>
      <c r="G159" s="39"/>
      <c r="H159" s="20"/>
      <c r="I159" s="39"/>
      <c r="J159" s="20"/>
      <c r="K159" s="39"/>
      <c r="L159" s="19"/>
      <c r="M159" s="39"/>
      <c r="N159" s="72">
        <v>1139997386</v>
      </c>
      <c r="O159" s="39"/>
    </row>
    <row r="160" spans="1:15" ht="15">
      <c r="A160" s="20"/>
      <c r="B160" s="42"/>
      <c r="C160" s="15"/>
      <c r="D160" s="19"/>
      <c r="E160" s="39"/>
      <c r="F160" s="20"/>
      <c r="G160" s="39"/>
      <c r="H160" s="19"/>
      <c r="I160" s="39"/>
      <c r="J160" s="19"/>
      <c r="K160" s="39"/>
      <c r="L160" s="19"/>
      <c r="M160" s="39"/>
      <c r="N160" s="19"/>
      <c r="O160" s="39"/>
    </row>
    <row r="161" spans="1:15" ht="15.75">
      <c r="A161" s="40">
        <v>333</v>
      </c>
      <c r="B161" s="42"/>
      <c r="C161" s="2" t="s">
        <v>308</v>
      </c>
      <c r="D161" s="28"/>
      <c r="E161" s="39"/>
      <c r="F161" s="28">
        <f>SUM(F162:F168)-SUM(D162:D168)</f>
        <v>21009073139</v>
      </c>
      <c r="G161" s="39"/>
      <c r="H161" s="28">
        <f>SUM(H162:H168)</f>
        <v>38590889704</v>
      </c>
      <c r="I161" s="44"/>
      <c r="J161" s="28">
        <f>SUM(J162:J168)</f>
        <v>48800518490</v>
      </c>
      <c r="K161" s="257"/>
      <c r="L161" s="260"/>
      <c r="M161" s="257"/>
      <c r="N161" s="260">
        <f>SUM(N162:N168)-SUM(L162:L168)</f>
        <v>31218701925</v>
      </c>
      <c r="O161" s="39"/>
    </row>
    <row r="162" spans="1:15" ht="15">
      <c r="A162" s="20"/>
      <c r="B162" s="42">
        <v>3331</v>
      </c>
      <c r="C162" s="15" t="s">
        <v>667</v>
      </c>
      <c r="D162" s="19"/>
      <c r="E162" s="39"/>
      <c r="F162" s="19">
        <v>88277286</v>
      </c>
      <c r="G162" s="39"/>
      <c r="H162" s="19">
        <v>11482281348</v>
      </c>
      <c r="I162" s="39"/>
      <c r="J162" s="19">
        <v>12667169879</v>
      </c>
      <c r="K162" s="257"/>
      <c r="L162" s="238"/>
      <c r="M162" s="257"/>
      <c r="N162" s="238">
        <f aca="true" t="shared" si="2" ref="N162:N168">F162+J162-H162</f>
        <v>1273165817</v>
      </c>
      <c r="O162" s="39"/>
    </row>
    <row r="163" spans="1:15" ht="15">
      <c r="A163" s="20"/>
      <c r="B163" s="42">
        <v>3333</v>
      </c>
      <c r="C163" s="15" t="s">
        <v>451</v>
      </c>
      <c r="D163" s="19"/>
      <c r="E163" s="39"/>
      <c r="F163" s="19">
        <v>0</v>
      </c>
      <c r="G163" s="39"/>
      <c r="H163" s="19">
        <v>170658577</v>
      </c>
      <c r="I163" s="39"/>
      <c r="J163" s="19">
        <v>170658577</v>
      </c>
      <c r="K163" s="257"/>
      <c r="L163" s="238"/>
      <c r="M163" s="257"/>
      <c r="N163" s="238">
        <f t="shared" si="2"/>
        <v>0</v>
      </c>
      <c r="O163" s="39"/>
    </row>
    <row r="164" spans="1:15" ht="15">
      <c r="A164" s="20"/>
      <c r="B164" s="42">
        <v>3334</v>
      </c>
      <c r="C164" s="15" t="s">
        <v>668</v>
      </c>
      <c r="D164" s="19"/>
      <c r="E164" s="39"/>
      <c r="F164" s="19">
        <v>6359719228</v>
      </c>
      <c r="G164" s="39"/>
      <c r="H164" s="19">
        <v>17595983779</v>
      </c>
      <c r="I164" s="39"/>
      <c r="J164" s="19">
        <v>18245202990</v>
      </c>
      <c r="K164" s="257"/>
      <c r="L164" s="238"/>
      <c r="M164" s="257"/>
      <c r="N164" s="238">
        <f t="shared" si="2"/>
        <v>7008938439</v>
      </c>
      <c r="O164" s="39"/>
    </row>
    <row r="165" spans="1:15" ht="15">
      <c r="A165" s="20"/>
      <c r="B165" s="42">
        <v>3336</v>
      </c>
      <c r="C165" s="15" t="s">
        <v>564</v>
      </c>
      <c r="D165" s="19"/>
      <c r="E165" s="39"/>
      <c r="F165" s="19">
        <v>13997563125</v>
      </c>
      <c r="G165" s="39"/>
      <c r="H165" s="19">
        <v>5000000000</v>
      </c>
      <c r="I165" s="39"/>
      <c r="J165" s="19">
        <v>13793232944</v>
      </c>
      <c r="K165" s="257"/>
      <c r="L165" s="238"/>
      <c r="M165" s="257"/>
      <c r="N165" s="238">
        <f t="shared" si="2"/>
        <v>22790796069</v>
      </c>
      <c r="O165" s="39"/>
    </row>
    <row r="166" spans="1:15" ht="17.25" hidden="1">
      <c r="A166" s="20"/>
      <c r="B166" s="42">
        <v>3338</v>
      </c>
      <c r="C166" s="15" t="s">
        <v>137</v>
      </c>
      <c r="D166" s="19"/>
      <c r="E166" s="39"/>
      <c r="F166" s="19">
        <v>0</v>
      </c>
      <c r="G166" s="39"/>
      <c r="H166" s="19"/>
      <c r="I166" s="39"/>
      <c r="J166" s="19"/>
      <c r="K166" s="257"/>
      <c r="L166" s="238"/>
      <c r="M166" s="257"/>
      <c r="N166" s="238">
        <f t="shared" si="2"/>
        <v>0</v>
      </c>
      <c r="O166" s="39"/>
    </row>
    <row r="167" spans="1:15" ht="15">
      <c r="A167" s="20"/>
      <c r="B167" s="42">
        <v>3338</v>
      </c>
      <c r="C167" s="15" t="s">
        <v>140</v>
      </c>
      <c r="D167" s="19"/>
      <c r="E167" s="39"/>
      <c r="F167" s="19">
        <v>0</v>
      </c>
      <c r="G167" s="39"/>
      <c r="H167" s="19">
        <v>8000000</v>
      </c>
      <c r="I167" s="39"/>
      <c r="J167" s="19">
        <v>8000000</v>
      </c>
      <c r="K167" s="257"/>
      <c r="L167" s="238"/>
      <c r="M167" s="257"/>
      <c r="N167" s="238">
        <f t="shared" si="2"/>
        <v>0</v>
      </c>
      <c r="O167" s="39"/>
    </row>
    <row r="168" spans="1:15" ht="15">
      <c r="A168" s="20"/>
      <c r="B168" s="42">
        <v>3338</v>
      </c>
      <c r="C168" s="15" t="s">
        <v>759</v>
      </c>
      <c r="D168" s="19"/>
      <c r="E168" s="39"/>
      <c r="F168" s="19">
        <v>563513500</v>
      </c>
      <c r="G168" s="39"/>
      <c r="H168" s="19">
        <f>4341966000-H167</f>
        <v>4333966000</v>
      </c>
      <c r="I168" s="39"/>
      <c r="J168" s="19">
        <f>3924254100-J167</f>
        <v>3916254100</v>
      </c>
      <c r="K168" s="257"/>
      <c r="L168" s="238"/>
      <c r="M168" s="257"/>
      <c r="N168" s="238">
        <f t="shared" si="2"/>
        <v>145801600</v>
      </c>
      <c r="O168" s="39"/>
    </row>
    <row r="169" spans="1:15" ht="15">
      <c r="A169" s="20"/>
      <c r="B169" s="42"/>
      <c r="C169" s="15"/>
      <c r="D169" s="20"/>
      <c r="E169" s="39"/>
      <c r="F169" s="19"/>
      <c r="G169" s="39"/>
      <c r="H169" s="19"/>
      <c r="I169" s="39"/>
      <c r="J169" s="19"/>
      <c r="K169" s="39"/>
      <c r="L169" s="19"/>
      <c r="M169" s="39"/>
      <c r="N169" s="19"/>
      <c r="O169" s="39"/>
    </row>
    <row r="170" spans="1:15" ht="15.75">
      <c r="A170" s="40">
        <v>334</v>
      </c>
      <c r="B170" s="20"/>
      <c r="C170" s="2" t="s">
        <v>309</v>
      </c>
      <c r="D170" s="20"/>
      <c r="E170" s="39"/>
      <c r="F170" s="28">
        <f>F171-D172</f>
        <v>64765530417</v>
      </c>
      <c r="G170" s="39"/>
      <c r="H170" s="28">
        <f>SUM(H171:H173)</f>
        <v>165287335991</v>
      </c>
      <c r="I170" s="44"/>
      <c r="J170" s="28">
        <f>SUM(J171:J173)</f>
        <v>198802316502</v>
      </c>
      <c r="K170" s="257"/>
      <c r="L170" s="238"/>
      <c r="M170" s="257"/>
      <c r="N170" s="260">
        <f>N171-L172</f>
        <v>98280510928</v>
      </c>
      <c r="O170" s="39"/>
    </row>
    <row r="171" spans="1:15" ht="15">
      <c r="A171" s="20"/>
      <c r="B171" s="42">
        <v>3341</v>
      </c>
      <c r="C171" s="15" t="s">
        <v>310</v>
      </c>
      <c r="D171" s="20"/>
      <c r="E171" s="39"/>
      <c r="F171" s="19">
        <v>64945638103</v>
      </c>
      <c r="G171" s="39"/>
      <c r="H171" s="19">
        <v>151088710950</v>
      </c>
      <c r="I171" s="39"/>
      <c r="J171" s="19">
        <v>185032119211</v>
      </c>
      <c r="K171" s="257"/>
      <c r="L171" s="258"/>
      <c r="M171" s="257"/>
      <c r="N171" s="238">
        <f>F171+J171-H171</f>
        <v>98889046364</v>
      </c>
      <c r="O171" s="39"/>
    </row>
    <row r="172" spans="1:15" ht="15">
      <c r="A172" s="20"/>
      <c r="B172" s="42">
        <v>3342</v>
      </c>
      <c r="C172" s="15" t="s">
        <v>311</v>
      </c>
      <c r="D172" s="19">
        <v>180107686</v>
      </c>
      <c r="E172" s="39"/>
      <c r="F172" s="19"/>
      <c r="G172" s="39"/>
      <c r="H172" s="19">
        <v>428427750</v>
      </c>
      <c r="I172" s="39"/>
      <c r="J172" s="19">
        <v>0</v>
      </c>
      <c r="K172" s="257"/>
      <c r="L172" s="238">
        <f>D172+H172-J172</f>
        <v>608535436</v>
      </c>
      <c r="M172" s="257"/>
      <c r="N172" s="258"/>
      <c r="O172" s="39"/>
    </row>
    <row r="173" spans="1:15" ht="15">
      <c r="A173" s="20"/>
      <c r="B173" s="42">
        <v>3343</v>
      </c>
      <c r="C173" s="15" t="s">
        <v>312</v>
      </c>
      <c r="D173" s="20"/>
      <c r="E173" s="39"/>
      <c r="F173" s="19"/>
      <c r="G173" s="39"/>
      <c r="H173" s="19">
        <v>13770197291</v>
      </c>
      <c r="I173" s="39"/>
      <c r="J173" s="19">
        <v>13770197291</v>
      </c>
      <c r="K173" s="257"/>
      <c r="L173" s="238"/>
      <c r="M173" s="257"/>
      <c r="N173" s="258"/>
      <c r="O173" s="39"/>
    </row>
    <row r="174" spans="1:15" ht="17.25" hidden="1">
      <c r="A174" s="20"/>
      <c r="B174" s="42"/>
      <c r="C174" s="15"/>
      <c r="D174" s="20"/>
      <c r="E174" s="39"/>
      <c r="F174" s="19"/>
      <c r="G174" s="39"/>
      <c r="H174" s="19"/>
      <c r="I174" s="39"/>
      <c r="J174" s="19"/>
      <c r="K174" s="39"/>
      <c r="L174" s="19"/>
      <c r="M174" s="39"/>
      <c r="N174" s="19"/>
      <c r="O174" s="39"/>
    </row>
    <row r="175" spans="1:15" ht="18" customHeight="1">
      <c r="A175" s="20"/>
      <c r="B175" s="42"/>
      <c r="C175" s="15"/>
      <c r="D175" s="20"/>
      <c r="E175" s="39"/>
      <c r="F175" s="19"/>
      <c r="G175" s="39"/>
      <c r="H175" s="19"/>
      <c r="I175" s="39"/>
      <c r="J175" s="19"/>
      <c r="K175" s="39"/>
      <c r="L175" s="19"/>
      <c r="M175" s="39"/>
      <c r="N175" s="19"/>
      <c r="O175" s="39"/>
    </row>
    <row r="176" spans="1:15" ht="15.75">
      <c r="A176" s="40">
        <v>335</v>
      </c>
      <c r="B176" s="42"/>
      <c r="C176" s="2" t="s">
        <v>313</v>
      </c>
      <c r="D176" s="28"/>
      <c r="E176" s="39"/>
      <c r="F176" s="28">
        <f>SUM(F177:F177)</f>
        <v>237662537</v>
      </c>
      <c r="G176" s="39"/>
      <c r="H176" s="28">
        <f>SUM(H177:H177)</f>
        <v>521639362</v>
      </c>
      <c r="I176" s="39"/>
      <c r="J176" s="28">
        <f>SUM(J177:J177)</f>
        <v>432937991</v>
      </c>
      <c r="K176" s="257"/>
      <c r="L176" s="260"/>
      <c r="M176" s="257"/>
      <c r="N176" s="260">
        <f>F176+J176-H176</f>
        <v>148961166</v>
      </c>
      <c r="O176" s="39"/>
    </row>
    <row r="177" spans="1:15" ht="15.75">
      <c r="A177" s="40"/>
      <c r="B177" s="42">
        <v>3351</v>
      </c>
      <c r="C177" s="15" t="s">
        <v>884</v>
      </c>
      <c r="D177" s="19"/>
      <c r="E177" s="39"/>
      <c r="F177" s="19">
        <v>237662537</v>
      </c>
      <c r="G177" s="39"/>
      <c r="H177" s="19">
        <v>521639362</v>
      </c>
      <c r="I177" s="39"/>
      <c r="J177" s="19">
        <v>432937991</v>
      </c>
      <c r="K177" s="257"/>
      <c r="L177" s="238"/>
      <c r="M177" s="257"/>
      <c r="N177" s="238">
        <f>F177+J177-H177</f>
        <v>148961166</v>
      </c>
      <c r="O177" s="39"/>
    </row>
    <row r="178" spans="1:15" ht="17.25" customHeight="1">
      <c r="A178" s="40"/>
      <c r="B178" s="42"/>
      <c r="C178" s="2"/>
      <c r="D178" s="20"/>
      <c r="E178" s="39"/>
      <c r="F178" s="28"/>
      <c r="G178" s="39"/>
      <c r="H178" s="28"/>
      <c r="I178" s="39"/>
      <c r="J178" s="28"/>
      <c r="K178" s="257"/>
      <c r="L178" s="238"/>
      <c r="M178" s="257"/>
      <c r="N178" s="260"/>
      <c r="O178" s="39"/>
    </row>
    <row r="179" spans="1:15" ht="18" hidden="1">
      <c r="A179" s="40">
        <v>336</v>
      </c>
      <c r="B179" s="42"/>
      <c r="C179" s="2" t="s">
        <v>360</v>
      </c>
      <c r="D179" s="28"/>
      <c r="E179" s="39"/>
      <c r="F179" s="28">
        <v>0</v>
      </c>
      <c r="G179" s="39"/>
      <c r="H179" s="28">
        <v>0</v>
      </c>
      <c r="I179" s="39"/>
      <c r="J179" s="28">
        <v>0</v>
      </c>
      <c r="K179" s="257"/>
      <c r="L179" s="260"/>
      <c r="M179" s="257"/>
      <c r="N179" s="260">
        <f>F179+J179-H179</f>
        <v>0</v>
      </c>
      <c r="O179" s="39"/>
    </row>
    <row r="180" spans="1:15" ht="18" hidden="1">
      <c r="A180" s="40"/>
      <c r="B180" s="42"/>
      <c r="C180" s="2"/>
      <c r="D180" s="28"/>
      <c r="E180" s="39"/>
      <c r="F180" s="28"/>
      <c r="G180" s="39"/>
      <c r="H180" s="28"/>
      <c r="I180" s="39"/>
      <c r="J180" s="28"/>
      <c r="K180" s="257"/>
      <c r="L180" s="260"/>
      <c r="M180" s="257"/>
      <c r="N180" s="260"/>
      <c r="O180" s="39"/>
    </row>
    <row r="181" spans="1:15" ht="18" hidden="1">
      <c r="A181" s="40">
        <v>337</v>
      </c>
      <c r="B181" s="42"/>
      <c r="C181" s="2" t="s">
        <v>488</v>
      </c>
      <c r="D181" s="20"/>
      <c r="E181" s="39"/>
      <c r="F181" s="28">
        <v>0</v>
      </c>
      <c r="G181" s="39"/>
      <c r="H181" s="28">
        <v>0</v>
      </c>
      <c r="I181" s="39"/>
      <c r="J181" s="28">
        <v>0</v>
      </c>
      <c r="K181" s="257"/>
      <c r="L181" s="238"/>
      <c r="M181" s="257"/>
      <c r="N181" s="260">
        <f>F181+J181-H181</f>
        <v>0</v>
      </c>
      <c r="O181" s="39"/>
    </row>
    <row r="182" spans="1:15" ht="17.25" hidden="1">
      <c r="A182" s="20"/>
      <c r="B182" s="20"/>
      <c r="C182" s="15"/>
      <c r="D182" s="20"/>
      <c r="E182" s="39"/>
      <c r="F182" s="20"/>
      <c r="G182" s="39"/>
      <c r="H182" s="20"/>
      <c r="I182" s="39"/>
      <c r="J182" s="20"/>
      <c r="K182" s="257"/>
      <c r="L182" s="258"/>
      <c r="M182" s="257"/>
      <c r="N182" s="238"/>
      <c r="O182" s="39"/>
    </row>
    <row r="183" spans="1:15" ht="15.75">
      <c r="A183" s="40">
        <v>338</v>
      </c>
      <c r="B183" s="20"/>
      <c r="C183" s="2" t="s">
        <v>314</v>
      </c>
      <c r="D183" s="20"/>
      <c r="E183" s="39"/>
      <c r="F183" s="28">
        <f>SUM(F184:F192)-SUM(D184:D192)</f>
        <v>8729250573</v>
      </c>
      <c r="G183" s="39"/>
      <c r="H183" s="28">
        <f>SUM(H184:H192)</f>
        <v>97780925286</v>
      </c>
      <c r="I183" s="39"/>
      <c r="J183" s="28">
        <f>SUM(J184:J192)</f>
        <v>92975478747</v>
      </c>
      <c r="K183" s="257"/>
      <c r="L183" s="260"/>
      <c r="M183" s="257"/>
      <c r="N183" s="260">
        <f>SUM(N184:N192)-SUM(L184:L192)</f>
        <v>3923804034</v>
      </c>
      <c r="O183" s="39"/>
    </row>
    <row r="184" spans="1:15" ht="18" hidden="1">
      <c r="A184" s="40"/>
      <c r="B184" s="42">
        <v>3381</v>
      </c>
      <c r="C184" s="15" t="s">
        <v>356</v>
      </c>
      <c r="D184" s="19"/>
      <c r="E184" s="39"/>
      <c r="F184" s="19">
        <v>0</v>
      </c>
      <c r="G184" s="39"/>
      <c r="H184" s="19">
        <v>0</v>
      </c>
      <c r="I184" s="39"/>
      <c r="J184" s="19"/>
      <c r="K184" s="257"/>
      <c r="L184" s="238"/>
      <c r="M184" s="257"/>
      <c r="N184" s="238">
        <f aca="true" t="shared" si="3" ref="N184:N191">F184+J184-H184</f>
        <v>0</v>
      </c>
      <c r="O184" s="39"/>
    </row>
    <row r="185" spans="1:15" ht="15">
      <c r="A185" s="20"/>
      <c r="B185" s="42">
        <v>3382</v>
      </c>
      <c r="C185" s="15" t="s">
        <v>171</v>
      </c>
      <c r="D185" s="20"/>
      <c r="E185" s="39"/>
      <c r="F185" s="19">
        <v>1567075808</v>
      </c>
      <c r="G185" s="39"/>
      <c r="H185" s="19">
        <v>3667075808</v>
      </c>
      <c r="I185" s="39"/>
      <c r="J185" s="19">
        <v>3700642384</v>
      </c>
      <c r="K185" s="257"/>
      <c r="L185" s="258"/>
      <c r="M185" s="257"/>
      <c r="N185" s="238">
        <f t="shared" si="3"/>
        <v>1600642384</v>
      </c>
      <c r="O185" s="39"/>
    </row>
    <row r="186" spans="1:15" ht="15">
      <c r="A186" s="20"/>
      <c r="B186" s="42">
        <v>3383</v>
      </c>
      <c r="C186" s="15" t="s">
        <v>565</v>
      </c>
      <c r="D186" s="19">
        <v>4422850</v>
      </c>
      <c r="E186" s="39"/>
      <c r="F186" s="19"/>
      <c r="G186" s="39"/>
      <c r="H186" s="19">
        <v>9909481501</v>
      </c>
      <c r="I186" s="39"/>
      <c r="J186" s="19">
        <v>10359348143</v>
      </c>
      <c r="K186" s="257"/>
      <c r="L186" s="238"/>
      <c r="M186" s="257"/>
      <c r="N186" s="238">
        <f>J186-H186-D186</f>
        <v>445443792</v>
      </c>
      <c r="O186" s="39"/>
    </row>
    <row r="187" spans="1:15" ht="15">
      <c r="A187" s="20"/>
      <c r="B187" s="42">
        <v>3384</v>
      </c>
      <c r="C187" s="15" t="s">
        <v>566</v>
      </c>
      <c r="D187" s="19"/>
      <c r="E187" s="39"/>
      <c r="F187" s="19">
        <v>0</v>
      </c>
      <c r="G187" s="39"/>
      <c r="H187" s="19">
        <v>2132861000</v>
      </c>
      <c r="I187" s="39"/>
      <c r="J187" s="19">
        <v>2122856337</v>
      </c>
      <c r="K187" s="257"/>
      <c r="L187" s="238">
        <f>H187-J187</f>
        <v>10004663</v>
      </c>
      <c r="M187" s="257"/>
      <c r="N187" s="238"/>
      <c r="O187" s="39"/>
    </row>
    <row r="188" spans="1:15" ht="17.25" hidden="1">
      <c r="A188" s="20"/>
      <c r="B188" s="42">
        <v>3385</v>
      </c>
      <c r="C188" s="15" t="s">
        <v>1099</v>
      </c>
      <c r="D188" s="19"/>
      <c r="E188" s="39"/>
      <c r="F188" s="19">
        <v>0</v>
      </c>
      <c r="G188" s="39"/>
      <c r="H188" s="19"/>
      <c r="I188" s="39"/>
      <c r="J188" s="19"/>
      <c r="K188" s="257"/>
      <c r="L188" s="238"/>
      <c r="M188" s="257"/>
      <c r="N188" s="238">
        <f t="shared" si="3"/>
        <v>0</v>
      </c>
      <c r="O188" s="39"/>
    </row>
    <row r="189" spans="1:15" ht="15">
      <c r="A189" s="20"/>
      <c r="B189" s="42">
        <v>3385</v>
      </c>
      <c r="C189" s="15" t="s">
        <v>465</v>
      </c>
      <c r="D189" s="19"/>
      <c r="E189" s="39"/>
      <c r="F189" s="19">
        <v>18000000</v>
      </c>
      <c r="G189" s="39"/>
      <c r="H189" s="19">
        <v>18000000</v>
      </c>
      <c r="I189" s="39"/>
      <c r="J189" s="19">
        <v>0</v>
      </c>
      <c r="K189" s="257"/>
      <c r="L189" s="238"/>
      <c r="M189" s="257"/>
      <c r="N189" s="238">
        <f t="shared" si="3"/>
        <v>0</v>
      </c>
      <c r="O189" s="39"/>
    </row>
    <row r="190" spans="1:15" ht="15">
      <c r="A190" s="20"/>
      <c r="B190" s="42">
        <v>3388</v>
      </c>
      <c r="C190" s="15" t="s">
        <v>1001</v>
      </c>
      <c r="D190" s="19">
        <v>24658664</v>
      </c>
      <c r="E190" s="39"/>
      <c r="F190" s="19"/>
      <c r="G190" s="39"/>
      <c r="H190" s="19">
        <v>1460000</v>
      </c>
      <c r="I190" s="39"/>
      <c r="J190" s="19">
        <v>153165055</v>
      </c>
      <c r="K190" s="257"/>
      <c r="L190" s="238"/>
      <c r="M190" s="257"/>
      <c r="N190" s="238">
        <f>J190-H190-D190</f>
        <v>127046391</v>
      </c>
      <c r="O190" s="39"/>
    </row>
    <row r="191" spans="1:15" ht="15">
      <c r="A191" s="20"/>
      <c r="B191" s="42">
        <v>3388</v>
      </c>
      <c r="C191" s="15" t="s">
        <v>464</v>
      </c>
      <c r="D191" s="20"/>
      <c r="E191" s="39"/>
      <c r="F191" s="19">
        <v>7173256279</v>
      </c>
      <c r="G191" s="39"/>
      <c r="H191" s="19">
        <f>97780925286-H185-H186-H187-H189-H190-H192</f>
        <v>81105846977</v>
      </c>
      <c r="I191" s="39"/>
      <c r="J191" s="19">
        <f>92975478747-J185-J186-J187-J189-J190-J192</f>
        <v>75697838648</v>
      </c>
      <c r="K191" s="257"/>
      <c r="L191" s="238"/>
      <c r="M191" s="257"/>
      <c r="N191" s="238">
        <f t="shared" si="3"/>
        <v>1765247950</v>
      </c>
      <c r="O191" s="39"/>
    </row>
    <row r="192" spans="1:15" ht="15">
      <c r="A192" s="29"/>
      <c r="B192" s="371">
        <v>3389</v>
      </c>
      <c r="C192" s="16" t="s">
        <v>618</v>
      </c>
      <c r="D192" s="29"/>
      <c r="E192" s="47"/>
      <c r="F192" s="227"/>
      <c r="G192" s="47"/>
      <c r="H192" s="227">
        <v>946200000</v>
      </c>
      <c r="I192" s="47"/>
      <c r="J192" s="227">
        <v>941628180</v>
      </c>
      <c r="K192" s="264"/>
      <c r="L192" s="263">
        <f>H192-J192</f>
        <v>4571820</v>
      </c>
      <c r="M192" s="264"/>
      <c r="N192" s="263"/>
      <c r="O192" s="47"/>
    </row>
    <row r="193" spans="1:15" ht="15">
      <c r="A193" s="37"/>
      <c r="B193" s="360"/>
      <c r="C193" s="25"/>
      <c r="D193" s="37"/>
      <c r="E193" s="38"/>
      <c r="F193" s="108"/>
      <c r="G193" s="38"/>
      <c r="H193" s="108"/>
      <c r="I193" s="38"/>
      <c r="J193" s="108"/>
      <c r="K193" s="38"/>
      <c r="L193" s="37"/>
      <c r="M193" s="38"/>
      <c r="N193" s="108"/>
      <c r="O193" s="38"/>
    </row>
    <row r="194" spans="1:15" ht="15.75">
      <c r="A194" s="40">
        <v>341</v>
      </c>
      <c r="B194" s="20"/>
      <c r="C194" s="2" t="s">
        <v>315</v>
      </c>
      <c r="D194" s="20"/>
      <c r="E194" s="39"/>
      <c r="F194" s="28">
        <v>34758155155</v>
      </c>
      <c r="G194" s="39"/>
      <c r="H194" s="28">
        <v>0</v>
      </c>
      <c r="I194" s="39"/>
      <c r="J194" s="28">
        <v>0</v>
      </c>
      <c r="K194" s="257"/>
      <c r="L194" s="258"/>
      <c r="M194" s="257"/>
      <c r="N194" s="260">
        <f>F194+J194-H194</f>
        <v>34758155155</v>
      </c>
      <c r="O194" s="39"/>
    </row>
    <row r="195" spans="1:15" ht="15.75">
      <c r="A195" s="40"/>
      <c r="B195" s="20"/>
      <c r="C195" s="2"/>
      <c r="D195" s="20"/>
      <c r="E195" s="39"/>
      <c r="F195" s="28"/>
      <c r="G195" s="39"/>
      <c r="H195" s="28"/>
      <c r="I195" s="39"/>
      <c r="J195" s="28"/>
      <c r="K195" s="257"/>
      <c r="L195" s="258"/>
      <c r="M195" s="257"/>
      <c r="N195" s="260"/>
      <c r="O195" s="39"/>
    </row>
    <row r="196" spans="1:15" ht="18" hidden="1">
      <c r="A196" s="40">
        <v>342</v>
      </c>
      <c r="B196" s="20"/>
      <c r="C196" s="2" t="s">
        <v>497</v>
      </c>
      <c r="D196" s="20"/>
      <c r="E196" s="39"/>
      <c r="F196" s="28">
        <v>0</v>
      </c>
      <c r="G196" s="39"/>
      <c r="H196" s="28"/>
      <c r="I196" s="39"/>
      <c r="J196" s="28"/>
      <c r="K196" s="147"/>
      <c r="L196" s="145"/>
      <c r="M196" s="147"/>
      <c r="N196" s="146">
        <f>F196+J196-H196</f>
        <v>0</v>
      </c>
      <c r="O196" s="39"/>
    </row>
    <row r="197" spans="1:15" ht="17.25" hidden="1">
      <c r="A197" s="20"/>
      <c r="B197" s="20"/>
      <c r="C197" s="15"/>
      <c r="D197" s="20"/>
      <c r="E197" s="39"/>
      <c r="F197" s="20"/>
      <c r="G197" s="39"/>
      <c r="H197" s="20"/>
      <c r="I197" s="39"/>
      <c r="J197" s="20"/>
      <c r="K197" s="147"/>
      <c r="L197" s="145"/>
      <c r="M197" s="147"/>
      <c r="N197" s="145"/>
      <c r="O197" s="39"/>
    </row>
    <row r="198" spans="1:15" ht="18" hidden="1">
      <c r="A198" s="40">
        <v>343</v>
      </c>
      <c r="B198" s="20"/>
      <c r="C198" s="2" t="s">
        <v>498</v>
      </c>
      <c r="D198" s="20"/>
      <c r="E198" s="39"/>
      <c r="F198" s="28">
        <v>0</v>
      </c>
      <c r="G198" s="39"/>
      <c r="H198" s="28"/>
      <c r="I198" s="39"/>
      <c r="J198" s="28"/>
      <c r="K198" s="147"/>
      <c r="L198" s="145"/>
      <c r="M198" s="147"/>
      <c r="N198" s="146">
        <f>F198+J198-H198</f>
        <v>0</v>
      </c>
      <c r="O198" s="39"/>
    </row>
    <row r="199" spans="1:15" ht="17.25" hidden="1">
      <c r="A199" s="20"/>
      <c r="B199" s="20"/>
      <c r="C199" s="15"/>
      <c r="D199" s="20"/>
      <c r="E199" s="39"/>
      <c r="F199" s="20"/>
      <c r="G199" s="39"/>
      <c r="H199" s="20"/>
      <c r="I199" s="39"/>
      <c r="J199" s="20"/>
      <c r="K199" s="147"/>
      <c r="L199" s="145"/>
      <c r="M199" s="147"/>
      <c r="N199" s="145"/>
      <c r="O199" s="39"/>
    </row>
    <row r="200" spans="1:15" ht="18" hidden="1">
      <c r="A200" s="40">
        <v>344</v>
      </c>
      <c r="B200" s="20"/>
      <c r="C200" s="2" t="s">
        <v>489</v>
      </c>
      <c r="D200" s="20"/>
      <c r="E200" s="39"/>
      <c r="F200" s="28">
        <v>0</v>
      </c>
      <c r="G200" s="39"/>
      <c r="H200" s="28"/>
      <c r="I200" s="39"/>
      <c r="J200" s="28"/>
      <c r="K200" s="147"/>
      <c r="L200" s="145"/>
      <c r="M200" s="147"/>
      <c r="N200" s="146">
        <f>F200+J200-H200</f>
        <v>0</v>
      </c>
      <c r="O200" s="39"/>
    </row>
    <row r="201" spans="1:15" ht="17.25" hidden="1">
      <c r="A201" s="20"/>
      <c r="B201" s="20"/>
      <c r="C201" s="15"/>
      <c r="D201" s="20"/>
      <c r="E201" s="39"/>
      <c r="F201" s="20"/>
      <c r="G201" s="39"/>
      <c r="H201" s="20"/>
      <c r="I201" s="39"/>
      <c r="J201" s="20"/>
      <c r="K201" s="147"/>
      <c r="L201" s="145"/>
      <c r="M201" s="147"/>
      <c r="N201" s="145"/>
      <c r="O201" s="39"/>
    </row>
    <row r="202" spans="1:15" ht="18" hidden="1">
      <c r="A202" s="40">
        <v>347</v>
      </c>
      <c r="B202" s="20"/>
      <c r="C202" s="2" t="s">
        <v>54</v>
      </c>
      <c r="D202" s="20"/>
      <c r="E202" s="39"/>
      <c r="F202" s="28">
        <v>0</v>
      </c>
      <c r="G202" s="39"/>
      <c r="H202" s="28"/>
      <c r="I202" s="39"/>
      <c r="J202" s="28"/>
      <c r="K202" s="147"/>
      <c r="L202" s="145"/>
      <c r="M202" s="147"/>
      <c r="N202" s="146">
        <f>F202+J202-H202</f>
        <v>0</v>
      </c>
      <c r="O202" s="39"/>
    </row>
    <row r="203" spans="1:15" ht="17.25" hidden="1">
      <c r="A203" s="20"/>
      <c r="B203" s="20"/>
      <c r="C203" s="15"/>
      <c r="D203" s="20"/>
      <c r="E203" s="39"/>
      <c r="F203" s="20"/>
      <c r="G203" s="39"/>
      <c r="H203" s="20"/>
      <c r="I203" s="39"/>
      <c r="J203" s="20"/>
      <c r="K203" s="147"/>
      <c r="L203" s="145"/>
      <c r="M203" s="147"/>
      <c r="N203" s="145"/>
      <c r="O203" s="39"/>
    </row>
    <row r="204" spans="1:15" ht="15.75">
      <c r="A204" s="40">
        <v>351</v>
      </c>
      <c r="B204" s="20"/>
      <c r="C204" s="2" t="s">
        <v>55</v>
      </c>
      <c r="D204" s="20"/>
      <c r="E204" s="39"/>
      <c r="F204" s="28">
        <v>3409491582</v>
      </c>
      <c r="G204" s="39"/>
      <c r="H204" s="28">
        <v>1169640525</v>
      </c>
      <c r="I204" s="39"/>
      <c r="J204" s="28">
        <v>1412638383</v>
      </c>
      <c r="K204" s="257"/>
      <c r="L204" s="258"/>
      <c r="M204" s="257"/>
      <c r="N204" s="260">
        <f>F204+J204-H204</f>
        <v>3652489440</v>
      </c>
      <c r="O204" s="39"/>
    </row>
    <row r="205" spans="1:15" ht="15">
      <c r="A205" s="20"/>
      <c r="B205" s="20"/>
      <c r="C205" s="15"/>
      <c r="D205" s="20"/>
      <c r="E205" s="39"/>
      <c r="F205" s="20"/>
      <c r="G205" s="39"/>
      <c r="H205" s="20"/>
      <c r="I205" s="39"/>
      <c r="J205" s="20"/>
      <c r="K205" s="39"/>
      <c r="L205" s="20"/>
      <c r="M205" s="39"/>
      <c r="N205" s="20"/>
      <c r="O205" s="39"/>
    </row>
    <row r="206" spans="1:15" ht="18" hidden="1">
      <c r="A206" s="40">
        <v>352</v>
      </c>
      <c r="B206" s="20"/>
      <c r="C206" s="2" t="s">
        <v>890</v>
      </c>
      <c r="D206" s="20"/>
      <c r="E206" s="39"/>
      <c r="F206" s="28">
        <v>0</v>
      </c>
      <c r="G206" s="39"/>
      <c r="H206" s="28"/>
      <c r="I206" s="39"/>
      <c r="J206" s="28"/>
      <c r="K206" s="39"/>
      <c r="L206" s="20"/>
      <c r="M206" s="39"/>
      <c r="N206" s="28">
        <f>F206+J206-H206</f>
        <v>0</v>
      </c>
      <c r="O206" s="39"/>
    </row>
    <row r="207" spans="1:15" ht="17.25" hidden="1">
      <c r="A207" s="20"/>
      <c r="B207" s="20"/>
      <c r="C207" s="15"/>
      <c r="D207" s="20"/>
      <c r="E207" s="39"/>
      <c r="F207" s="20"/>
      <c r="G207" s="39"/>
      <c r="H207" s="20"/>
      <c r="I207" s="39"/>
      <c r="J207" s="20"/>
      <c r="K207" s="39"/>
      <c r="L207" s="20"/>
      <c r="M207" s="39"/>
      <c r="N207" s="20"/>
      <c r="O207" s="39"/>
    </row>
    <row r="208" spans="1:15" ht="15.75">
      <c r="A208" s="40">
        <v>353</v>
      </c>
      <c r="B208" s="20"/>
      <c r="C208" s="2" t="s">
        <v>319</v>
      </c>
      <c r="D208" s="20"/>
      <c r="E208" s="39"/>
      <c r="F208" s="28">
        <f>SUM(F209:F211)-SUM(D209:D211)</f>
        <v>21911480729</v>
      </c>
      <c r="G208" s="39"/>
      <c r="H208" s="28">
        <f>SUM(H209:H211)</f>
        <v>18808443885</v>
      </c>
      <c r="I208" s="44"/>
      <c r="J208" s="28">
        <f>SUM(J209:J211)</f>
        <v>0</v>
      </c>
      <c r="K208" s="257"/>
      <c r="L208" s="260"/>
      <c r="M208" s="257"/>
      <c r="N208" s="260">
        <f>SUM(N209:N211)-L210</f>
        <v>3103036844</v>
      </c>
      <c r="O208" s="39"/>
    </row>
    <row r="209" spans="1:15" ht="15">
      <c r="A209" s="20"/>
      <c r="B209" s="42">
        <v>3531</v>
      </c>
      <c r="C209" s="15" t="s">
        <v>320</v>
      </c>
      <c r="D209" s="19"/>
      <c r="E209" s="39"/>
      <c r="F209" s="19">
        <v>16893172450</v>
      </c>
      <c r="G209" s="39"/>
      <c r="H209" s="19">
        <v>13770197291</v>
      </c>
      <c r="I209" s="39"/>
      <c r="J209" s="19">
        <v>0</v>
      </c>
      <c r="K209" s="257"/>
      <c r="L209" s="238"/>
      <c r="M209" s="257"/>
      <c r="N209" s="238">
        <f>F209+J209-H209</f>
        <v>3122975159</v>
      </c>
      <c r="O209" s="39"/>
    </row>
    <row r="210" spans="1:15" ht="15">
      <c r="A210" s="20"/>
      <c r="B210" s="42">
        <v>3532</v>
      </c>
      <c r="C210" s="15" t="s">
        <v>321</v>
      </c>
      <c r="D210" s="19"/>
      <c r="E210" s="39"/>
      <c r="F210" s="19">
        <v>3821422564</v>
      </c>
      <c r="G210" s="39"/>
      <c r="H210" s="19">
        <v>4871239611</v>
      </c>
      <c r="I210" s="39"/>
      <c r="J210" s="19">
        <v>0</v>
      </c>
      <c r="K210" s="257"/>
      <c r="L210" s="238">
        <f>H210-F210</f>
        <v>1049817047</v>
      </c>
      <c r="M210" s="257"/>
      <c r="N210" s="238"/>
      <c r="O210" s="39"/>
    </row>
    <row r="211" spans="1:15" ht="15">
      <c r="A211" s="20"/>
      <c r="B211" s="42">
        <v>3533</v>
      </c>
      <c r="C211" s="15" t="s">
        <v>368</v>
      </c>
      <c r="D211" s="20"/>
      <c r="E211" s="39"/>
      <c r="F211" s="19">
        <v>1196885715</v>
      </c>
      <c r="G211" s="39"/>
      <c r="H211" s="19">
        <v>167006983</v>
      </c>
      <c r="I211" s="39"/>
      <c r="J211" s="19">
        <v>0</v>
      </c>
      <c r="K211" s="257"/>
      <c r="L211" s="258"/>
      <c r="M211" s="257"/>
      <c r="N211" s="238">
        <f>F211+J211-H211</f>
        <v>1029878732</v>
      </c>
      <c r="O211" s="39"/>
    </row>
    <row r="212" spans="1:15" ht="15.75">
      <c r="A212" s="20"/>
      <c r="B212" s="20"/>
      <c r="C212" s="2"/>
      <c r="D212" s="20"/>
      <c r="E212" s="39"/>
      <c r="F212" s="20"/>
      <c r="G212" s="39"/>
      <c r="H212" s="20"/>
      <c r="I212" s="39"/>
      <c r="J212" s="20"/>
      <c r="K212" s="39"/>
      <c r="L212" s="19"/>
      <c r="M212" s="39"/>
      <c r="N212" s="20"/>
      <c r="O212" s="39"/>
    </row>
    <row r="213" spans="1:15" ht="15.75">
      <c r="A213" s="20"/>
      <c r="B213" s="20"/>
      <c r="C213" s="2" t="s">
        <v>499</v>
      </c>
      <c r="D213" s="20"/>
      <c r="E213" s="39"/>
      <c r="F213" s="20"/>
      <c r="G213" s="39"/>
      <c r="H213" s="20"/>
      <c r="I213" s="39"/>
      <c r="J213" s="20"/>
      <c r="K213" s="39"/>
      <c r="L213" s="19"/>
      <c r="M213" s="39"/>
      <c r="N213" s="20"/>
      <c r="O213" s="39"/>
    </row>
    <row r="214" spans="1:15" ht="17.25" hidden="1">
      <c r="A214" s="20"/>
      <c r="B214" s="20"/>
      <c r="C214" s="15"/>
      <c r="D214" s="20"/>
      <c r="E214" s="39"/>
      <c r="F214" s="20"/>
      <c r="G214" s="39"/>
      <c r="H214" s="20"/>
      <c r="I214" s="39"/>
      <c r="J214" s="20"/>
      <c r="K214" s="39"/>
      <c r="L214" s="20"/>
      <c r="M214" s="39"/>
      <c r="N214" s="20"/>
      <c r="O214" s="39"/>
    </row>
    <row r="215" spans="1:15" ht="15.75">
      <c r="A215" s="40">
        <v>411</v>
      </c>
      <c r="B215" s="20"/>
      <c r="C215" s="2" t="s">
        <v>316</v>
      </c>
      <c r="D215" s="20"/>
      <c r="E215" s="39"/>
      <c r="F215" s="28">
        <v>300000000000</v>
      </c>
      <c r="G215" s="39"/>
      <c r="H215" s="28">
        <v>0</v>
      </c>
      <c r="I215" s="39"/>
      <c r="J215" s="28">
        <v>0</v>
      </c>
      <c r="K215" s="257"/>
      <c r="L215" s="258"/>
      <c r="M215" s="257"/>
      <c r="N215" s="260">
        <f>F215+J215-H215</f>
        <v>300000000000</v>
      </c>
      <c r="O215" s="39"/>
    </row>
    <row r="216" spans="1:15" ht="17.25" hidden="1">
      <c r="A216" s="20"/>
      <c r="B216" s="42">
        <v>4111</v>
      </c>
      <c r="C216" s="15" t="s">
        <v>891</v>
      </c>
      <c r="D216" s="20"/>
      <c r="E216" s="39"/>
      <c r="F216" s="19"/>
      <c r="G216" s="39"/>
      <c r="H216" s="19"/>
      <c r="I216" s="39"/>
      <c r="J216" s="19"/>
      <c r="K216" s="257"/>
      <c r="L216" s="238"/>
      <c r="M216" s="257"/>
      <c r="N216" s="238">
        <f>F216+J216-H216</f>
        <v>0</v>
      </c>
      <c r="O216" s="39"/>
    </row>
    <row r="217" spans="1:15" ht="17.25" hidden="1">
      <c r="A217" s="20"/>
      <c r="B217" s="42">
        <v>4112</v>
      </c>
      <c r="C217" s="15" t="s">
        <v>892</v>
      </c>
      <c r="D217" s="20"/>
      <c r="E217" s="39"/>
      <c r="F217" s="19"/>
      <c r="G217" s="39"/>
      <c r="H217" s="19"/>
      <c r="I217" s="39"/>
      <c r="J217" s="19"/>
      <c r="K217" s="257"/>
      <c r="L217" s="258"/>
      <c r="M217" s="257"/>
      <c r="N217" s="238">
        <f>F217+J217-H217</f>
        <v>0</v>
      </c>
      <c r="O217" s="39"/>
    </row>
    <row r="218" spans="1:15" ht="17.25" hidden="1">
      <c r="A218" s="20"/>
      <c r="B218" s="42">
        <v>4112</v>
      </c>
      <c r="C218" s="15" t="s">
        <v>987</v>
      </c>
      <c r="D218" s="20"/>
      <c r="E218" s="39"/>
      <c r="F218" s="19">
        <v>0</v>
      </c>
      <c r="G218" s="39"/>
      <c r="H218" s="19"/>
      <c r="I218" s="39"/>
      <c r="J218" s="19"/>
      <c r="K218" s="257"/>
      <c r="L218" s="258"/>
      <c r="M218" s="257"/>
      <c r="N218" s="238">
        <f>F218+J218-H218</f>
        <v>0</v>
      </c>
      <c r="O218" s="39"/>
    </row>
    <row r="219" spans="1:15" ht="17.25" hidden="1">
      <c r="A219" s="20"/>
      <c r="B219" s="42">
        <v>4118</v>
      </c>
      <c r="C219" s="15" t="s">
        <v>988</v>
      </c>
      <c r="D219" s="20"/>
      <c r="E219" s="39"/>
      <c r="F219" s="19">
        <v>0</v>
      </c>
      <c r="G219" s="39"/>
      <c r="H219" s="20"/>
      <c r="I219" s="39"/>
      <c r="J219" s="19"/>
      <c r="K219" s="257"/>
      <c r="L219" s="258"/>
      <c r="M219" s="257"/>
      <c r="N219" s="238">
        <f>F219+J219-H219</f>
        <v>0</v>
      </c>
      <c r="O219" s="39"/>
    </row>
    <row r="220" spans="1:15" ht="15">
      <c r="A220" s="20"/>
      <c r="B220" s="42"/>
      <c r="C220" s="15"/>
      <c r="D220" s="20"/>
      <c r="E220" s="39"/>
      <c r="F220" s="19"/>
      <c r="G220" s="39"/>
      <c r="H220" s="20"/>
      <c r="I220" s="39"/>
      <c r="J220" s="19"/>
      <c r="K220" s="257"/>
      <c r="L220" s="258"/>
      <c r="M220" s="257"/>
      <c r="N220" s="238"/>
      <c r="O220" s="39"/>
    </row>
    <row r="221" spans="1:15" ht="18" hidden="1">
      <c r="A221" s="40">
        <v>412</v>
      </c>
      <c r="B221" s="20"/>
      <c r="C221" s="2" t="s">
        <v>317</v>
      </c>
      <c r="D221" s="20"/>
      <c r="E221" s="39"/>
      <c r="F221" s="28">
        <v>0</v>
      </c>
      <c r="G221" s="39"/>
      <c r="H221" s="28"/>
      <c r="I221" s="39"/>
      <c r="J221" s="28"/>
      <c r="K221" s="257"/>
      <c r="L221" s="258"/>
      <c r="M221" s="257"/>
      <c r="N221" s="260">
        <f>F221+J221-H221</f>
        <v>0</v>
      </c>
      <c r="O221" s="39"/>
    </row>
    <row r="222" spans="1:15" ht="18" hidden="1">
      <c r="A222" s="40"/>
      <c r="B222" s="20"/>
      <c r="C222" s="2"/>
      <c r="D222" s="20"/>
      <c r="E222" s="39"/>
      <c r="F222" s="19"/>
      <c r="G222" s="39"/>
      <c r="H222" s="28"/>
      <c r="I222" s="39"/>
      <c r="J222" s="28"/>
      <c r="K222" s="257"/>
      <c r="L222" s="258"/>
      <c r="M222" s="257"/>
      <c r="N222" s="260"/>
      <c r="O222" s="39"/>
    </row>
    <row r="223" spans="1:15" ht="15.75">
      <c r="A223" s="40">
        <v>413</v>
      </c>
      <c r="B223" s="20"/>
      <c r="C223" s="2" t="s">
        <v>501</v>
      </c>
      <c r="D223" s="20"/>
      <c r="E223" s="39"/>
      <c r="F223" s="28">
        <v>2745801098</v>
      </c>
      <c r="G223" s="39"/>
      <c r="H223" s="28">
        <v>2829235685</v>
      </c>
      <c r="I223" s="39"/>
      <c r="J223" s="28">
        <v>83434587</v>
      </c>
      <c r="K223" s="257"/>
      <c r="L223" s="260"/>
      <c r="M223" s="257"/>
      <c r="N223" s="260">
        <f>F223+J223-H223</f>
        <v>0</v>
      </c>
      <c r="O223" s="39"/>
    </row>
    <row r="224" spans="1:15" ht="15">
      <c r="A224" s="20"/>
      <c r="B224" s="20"/>
      <c r="C224" s="15"/>
      <c r="D224" s="20"/>
      <c r="E224" s="39"/>
      <c r="F224" s="20"/>
      <c r="G224" s="39"/>
      <c r="H224" s="20"/>
      <c r="I224" s="39"/>
      <c r="J224" s="20"/>
      <c r="K224" s="257"/>
      <c r="L224" s="258"/>
      <c r="M224" s="257"/>
      <c r="N224" s="258"/>
      <c r="O224" s="39"/>
    </row>
    <row r="225" spans="1:15" ht="15.75">
      <c r="A225" s="40">
        <v>414</v>
      </c>
      <c r="B225" s="20"/>
      <c r="C225" s="2" t="s">
        <v>138</v>
      </c>
      <c r="D225" s="20"/>
      <c r="E225" s="39"/>
      <c r="F225" s="28">
        <v>165426726565</v>
      </c>
      <c r="G225" s="39"/>
      <c r="H225" s="28">
        <v>0</v>
      </c>
      <c r="I225" s="39"/>
      <c r="J225" s="28">
        <v>55423606179</v>
      </c>
      <c r="K225" s="257"/>
      <c r="L225" s="258"/>
      <c r="M225" s="257"/>
      <c r="N225" s="260">
        <f>F225+J225-H225</f>
        <v>220850332744</v>
      </c>
      <c r="O225" s="39"/>
    </row>
    <row r="226" spans="1:15" ht="15.75">
      <c r="A226" s="40"/>
      <c r="B226" s="20"/>
      <c r="C226" s="2"/>
      <c r="D226" s="20"/>
      <c r="E226" s="39"/>
      <c r="F226" s="28"/>
      <c r="G226" s="39"/>
      <c r="H226" s="28"/>
      <c r="I226" s="39"/>
      <c r="J226" s="28"/>
      <c r="K226" s="257"/>
      <c r="L226" s="258"/>
      <c r="M226" s="257"/>
      <c r="N226" s="260"/>
      <c r="O226" s="39"/>
    </row>
    <row r="227" spans="1:15" ht="15.75">
      <c r="A227" s="40">
        <v>415</v>
      </c>
      <c r="B227" s="20"/>
      <c r="C227" s="2" t="s">
        <v>500</v>
      </c>
      <c r="D227" s="20"/>
      <c r="E227" s="39"/>
      <c r="F227" s="28">
        <v>22701527480</v>
      </c>
      <c r="G227" s="39"/>
      <c r="H227" s="28">
        <v>0</v>
      </c>
      <c r="I227" s="39"/>
      <c r="J227" s="28">
        <v>0</v>
      </c>
      <c r="K227" s="257"/>
      <c r="L227" s="258"/>
      <c r="M227" s="257"/>
      <c r="N227" s="260">
        <f>F227+J227-H227</f>
        <v>22701527480</v>
      </c>
      <c r="O227" s="39"/>
    </row>
    <row r="228" spans="1:15" ht="15.75">
      <c r="A228" s="40"/>
      <c r="B228" s="20"/>
      <c r="C228" s="2"/>
      <c r="D228" s="20"/>
      <c r="E228" s="39"/>
      <c r="F228" s="28"/>
      <c r="G228" s="39"/>
      <c r="H228" s="28"/>
      <c r="I228" s="39"/>
      <c r="J228" s="28"/>
      <c r="K228" s="147"/>
      <c r="L228" s="145"/>
      <c r="M228" s="147"/>
      <c r="N228" s="146"/>
      <c r="O228" s="39"/>
    </row>
    <row r="229" spans="1:15" ht="18" hidden="1">
      <c r="A229" s="40">
        <v>418</v>
      </c>
      <c r="B229" s="20"/>
      <c r="C229" s="2" t="s">
        <v>893</v>
      </c>
      <c r="D229" s="20"/>
      <c r="E229" s="39"/>
      <c r="F229" s="28">
        <v>0</v>
      </c>
      <c r="G229" s="39"/>
      <c r="H229" s="28">
        <v>0</v>
      </c>
      <c r="I229" s="39"/>
      <c r="J229" s="28">
        <v>0</v>
      </c>
      <c r="K229" s="147"/>
      <c r="L229" s="145"/>
      <c r="M229" s="147"/>
      <c r="N229" s="146">
        <f>F229+J229-H229</f>
        <v>0</v>
      </c>
      <c r="O229" s="39"/>
    </row>
    <row r="230" spans="1:15" ht="18" hidden="1">
      <c r="A230" s="40"/>
      <c r="B230" s="20"/>
      <c r="C230" s="2"/>
      <c r="D230" s="20"/>
      <c r="E230" s="39"/>
      <c r="F230" s="28"/>
      <c r="G230" s="39"/>
      <c r="H230" s="28"/>
      <c r="I230" s="39"/>
      <c r="J230" s="28"/>
      <c r="K230" s="147"/>
      <c r="L230" s="145"/>
      <c r="M230" s="147"/>
      <c r="N230" s="146"/>
      <c r="O230" s="39"/>
    </row>
    <row r="231" spans="1:15" ht="15.75">
      <c r="A231" s="40">
        <v>419</v>
      </c>
      <c r="B231" s="20"/>
      <c r="C231" s="2" t="s">
        <v>894</v>
      </c>
      <c r="D231" s="20">
        <v>0</v>
      </c>
      <c r="E231" s="39"/>
      <c r="F231" s="28"/>
      <c r="G231" s="39"/>
      <c r="H231" s="28">
        <v>14827464762</v>
      </c>
      <c r="I231" s="39"/>
      <c r="J231" s="28">
        <v>0</v>
      </c>
      <c r="K231" s="147"/>
      <c r="L231" s="146">
        <f>D231+H231-J231</f>
        <v>14827464762</v>
      </c>
      <c r="M231" s="147"/>
      <c r="N231" s="146"/>
      <c r="O231" s="39"/>
    </row>
    <row r="232" spans="1:15" ht="15.75">
      <c r="A232" s="40"/>
      <c r="B232" s="20"/>
      <c r="C232" s="2"/>
      <c r="D232" s="20"/>
      <c r="E232" s="39"/>
      <c r="F232" s="28"/>
      <c r="G232" s="39"/>
      <c r="H232" s="28"/>
      <c r="I232" s="39"/>
      <c r="J232" s="28"/>
      <c r="K232" s="147"/>
      <c r="L232" s="145"/>
      <c r="M232" s="147"/>
      <c r="N232" s="146"/>
      <c r="O232" s="39"/>
    </row>
    <row r="233" spans="1:15" ht="15.75">
      <c r="A233" s="40">
        <v>421</v>
      </c>
      <c r="B233" s="20"/>
      <c r="C233" s="2" t="s">
        <v>318</v>
      </c>
      <c r="D233" s="20"/>
      <c r="E233" s="39"/>
      <c r="F233" s="28">
        <v>115423606179</v>
      </c>
      <c r="G233" s="39"/>
      <c r="H233" s="28">
        <v>115423606179</v>
      </c>
      <c r="I233" s="39"/>
      <c r="J233" s="28">
        <v>146492619020</v>
      </c>
      <c r="K233" s="257"/>
      <c r="L233" s="258"/>
      <c r="M233" s="257"/>
      <c r="N233" s="260">
        <f>F233+J233-H233</f>
        <v>146492619020</v>
      </c>
      <c r="O233" s="39"/>
    </row>
    <row r="234" spans="1:15" ht="15">
      <c r="A234" s="20"/>
      <c r="B234" s="20"/>
      <c r="C234" s="15"/>
      <c r="D234" s="20"/>
      <c r="E234" s="39"/>
      <c r="F234" s="20"/>
      <c r="G234" s="39"/>
      <c r="H234" s="20"/>
      <c r="I234" s="39"/>
      <c r="J234" s="20"/>
      <c r="K234" s="39"/>
      <c r="L234" s="20"/>
      <c r="M234" s="39"/>
      <c r="N234" s="20"/>
      <c r="O234" s="39"/>
    </row>
    <row r="235" spans="1:15" ht="18" hidden="1">
      <c r="A235" s="40">
        <v>441</v>
      </c>
      <c r="B235" s="20"/>
      <c r="C235" s="2" t="s">
        <v>322</v>
      </c>
      <c r="D235" s="20"/>
      <c r="E235" s="39"/>
      <c r="F235" s="28">
        <v>0</v>
      </c>
      <c r="G235" s="39"/>
      <c r="H235" s="28">
        <v>0</v>
      </c>
      <c r="I235" s="39"/>
      <c r="J235" s="28">
        <v>0</v>
      </c>
      <c r="K235" s="257"/>
      <c r="L235" s="258"/>
      <c r="M235" s="257"/>
      <c r="N235" s="260">
        <f>F235+J235-H235</f>
        <v>0</v>
      </c>
      <c r="O235" s="39"/>
    </row>
    <row r="236" spans="1:15" ht="17.25" hidden="1">
      <c r="A236" s="20"/>
      <c r="B236" s="20"/>
      <c r="C236" s="15"/>
      <c r="D236" s="20"/>
      <c r="E236" s="39"/>
      <c r="F236" s="20"/>
      <c r="G236" s="39"/>
      <c r="H236" s="20"/>
      <c r="I236" s="39"/>
      <c r="J236" s="20"/>
      <c r="K236" s="257"/>
      <c r="L236" s="258"/>
      <c r="M236" s="257"/>
      <c r="N236" s="258"/>
      <c r="O236" s="39"/>
    </row>
    <row r="237" spans="1:15" ht="18" hidden="1">
      <c r="A237" s="40">
        <v>461</v>
      </c>
      <c r="B237" s="20"/>
      <c r="C237" s="2" t="s">
        <v>323</v>
      </c>
      <c r="D237" s="20"/>
      <c r="E237" s="39"/>
      <c r="F237" s="28">
        <f>SUM(F238:F239)-SUM(D238:D239)</f>
        <v>0</v>
      </c>
      <c r="G237" s="39"/>
      <c r="H237" s="28">
        <f>SUM(H238:H239)</f>
        <v>0</v>
      </c>
      <c r="I237" s="39"/>
      <c r="J237" s="28">
        <f>SUM(J238:J239)</f>
        <v>0</v>
      </c>
      <c r="K237" s="257"/>
      <c r="L237" s="258"/>
      <c r="M237" s="257"/>
      <c r="N237" s="260">
        <f>SUM(N238:N239)-SUM(L238:L239)</f>
        <v>0</v>
      </c>
      <c r="O237" s="39"/>
    </row>
    <row r="238" spans="1:15" ht="18" hidden="1">
      <c r="A238" s="40"/>
      <c r="B238" s="20"/>
      <c r="C238" s="15"/>
      <c r="D238" s="20"/>
      <c r="E238" s="39"/>
      <c r="F238" s="19"/>
      <c r="G238" s="39"/>
      <c r="H238" s="19"/>
      <c r="I238" s="39"/>
      <c r="J238" s="19"/>
      <c r="K238" s="257"/>
      <c r="L238" s="258"/>
      <c r="M238" s="257"/>
      <c r="N238" s="238">
        <f>F238+J238-H238</f>
        <v>0</v>
      </c>
      <c r="O238" s="39"/>
    </row>
    <row r="239" spans="1:15" ht="18" hidden="1">
      <c r="A239" s="40"/>
      <c r="B239" s="20"/>
      <c r="C239" s="15" t="s">
        <v>740</v>
      </c>
      <c r="D239" s="20"/>
      <c r="E239" s="39"/>
      <c r="F239" s="19"/>
      <c r="G239" s="39"/>
      <c r="H239" s="19"/>
      <c r="I239" s="39"/>
      <c r="J239" s="19"/>
      <c r="K239" s="257"/>
      <c r="L239" s="258"/>
      <c r="M239" s="257"/>
      <c r="N239" s="238">
        <f>F239+J239-H239</f>
        <v>0</v>
      </c>
      <c r="O239" s="39"/>
    </row>
    <row r="240" spans="1:15" ht="18" hidden="1">
      <c r="A240" s="40"/>
      <c r="B240" s="20"/>
      <c r="C240" s="15"/>
      <c r="D240" s="20"/>
      <c r="E240" s="39"/>
      <c r="F240" s="19"/>
      <c r="G240" s="39"/>
      <c r="H240" s="19"/>
      <c r="I240" s="39"/>
      <c r="J240" s="19"/>
      <c r="K240" s="257"/>
      <c r="L240" s="258"/>
      <c r="M240" s="257"/>
      <c r="N240" s="238"/>
      <c r="O240" s="39"/>
    </row>
    <row r="241" spans="1:15" ht="18" hidden="1">
      <c r="A241" s="40">
        <v>466</v>
      </c>
      <c r="B241" s="20"/>
      <c r="C241" s="2" t="s">
        <v>325</v>
      </c>
      <c r="D241" s="20"/>
      <c r="E241" s="39"/>
      <c r="F241" s="28">
        <v>0</v>
      </c>
      <c r="G241" s="39"/>
      <c r="H241" s="28">
        <v>0</v>
      </c>
      <c r="I241" s="39"/>
      <c r="J241" s="28">
        <v>0</v>
      </c>
      <c r="K241" s="257"/>
      <c r="L241" s="258"/>
      <c r="M241" s="257"/>
      <c r="N241" s="260">
        <f>F241+J241-H241</f>
        <v>0</v>
      </c>
      <c r="O241" s="39"/>
    </row>
    <row r="242" spans="1:15" ht="18" hidden="1">
      <c r="A242" s="40"/>
      <c r="B242" s="20"/>
      <c r="C242" s="2"/>
      <c r="D242" s="20"/>
      <c r="E242" s="39"/>
      <c r="F242" s="28"/>
      <c r="G242" s="39"/>
      <c r="H242" s="28"/>
      <c r="I242" s="39"/>
      <c r="J242" s="28"/>
      <c r="K242" s="257"/>
      <c r="L242" s="258"/>
      <c r="M242" s="257"/>
      <c r="N242" s="260"/>
      <c r="O242" s="39"/>
    </row>
    <row r="243" spans="1:15" ht="15.75">
      <c r="A243" s="40"/>
      <c r="B243" s="20"/>
      <c r="C243" s="2" t="s">
        <v>326</v>
      </c>
      <c r="D243" s="20"/>
      <c r="E243" s="39"/>
      <c r="F243" s="28"/>
      <c r="G243" s="39"/>
      <c r="H243" s="28"/>
      <c r="I243" s="39"/>
      <c r="J243" s="28"/>
      <c r="K243" s="257"/>
      <c r="L243" s="258"/>
      <c r="M243" s="257"/>
      <c r="N243" s="260"/>
      <c r="O243" s="39"/>
    </row>
    <row r="244" spans="1:15" ht="15.75">
      <c r="A244" s="40">
        <v>511</v>
      </c>
      <c r="B244" s="20"/>
      <c r="C244" s="2" t="s">
        <v>502</v>
      </c>
      <c r="D244" s="20"/>
      <c r="E244" s="39"/>
      <c r="F244" s="28"/>
      <c r="G244" s="39"/>
      <c r="H244" s="28">
        <v>446351658018</v>
      </c>
      <c r="I244" s="39"/>
      <c r="J244" s="28">
        <v>446351658018</v>
      </c>
      <c r="K244" s="257"/>
      <c r="L244" s="238"/>
      <c r="M244" s="257"/>
      <c r="N244" s="260"/>
      <c r="O244" s="39"/>
    </row>
    <row r="245" spans="1:15" ht="15.75">
      <c r="A245" s="40"/>
      <c r="B245" s="20"/>
      <c r="C245" s="2"/>
      <c r="D245" s="20"/>
      <c r="E245" s="39"/>
      <c r="F245" s="28"/>
      <c r="G245" s="39"/>
      <c r="H245" s="28"/>
      <c r="I245" s="39"/>
      <c r="J245" s="28"/>
      <c r="K245" s="39"/>
      <c r="L245" s="19"/>
      <c r="M245" s="39"/>
      <c r="N245" s="28"/>
      <c r="O245" s="39"/>
    </row>
    <row r="246" spans="1:15" ht="18" hidden="1">
      <c r="A246" s="40">
        <v>512</v>
      </c>
      <c r="B246" s="20"/>
      <c r="C246" s="2" t="s">
        <v>503</v>
      </c>
      <c r="D246" s="20"/>
      <c r="E246" s="39"/>
      <c r="F246" s="28"/>
      <c r="G246" s="39"/>
      <c r="H246" s="28"/>
      <c r="I246" s="39"/>
      <c r="J246" s="28"/>
      <c r="K246" s="39"/>
      <c r="L246" s="19"/>
      <c r="M246" s="39"/>
      <c r="N246" s="28"/>
      <c r="O246" s="39"/>
    </row>
    <row r="247" spans="1:15" ht="18" hidden="1">
      <c r="A247" s="40"/>
      <c r="B247" s="20"/>
      <c r="C247" s="2"/>
      <c r="D247" s="20"/>
      <c r="E247" s="39"/>
      <c r="F247" s="28"/>
      <c r="G247" s="39"/>
      <c r="H247" s="28"/>
      <c r="I247" s="39"/>
      <c r="J247" s="28"/>
      <c r="K247" s="39"/>
      <c r="L247" s="19"/>
      <c r="M247" s="39"/>
      <c r="N247" s="28"/>
      <c r="O247" s="39"/>
    </row>
    <row r="248" spans="1:15" ht="15.75">
      <c r="A248" s="40">
        <v>515</v>
      </c>
      <c r="B248" s="20"/>
      <c r="C248" s="2" t="s">
        <v>504</v>
      </c>
      <c r="D248" s="20"/>
      <c r="E248" s="39"/>
      <c r="F248" s="28"/>
      <c r="G248" s="39"/>
      <c r="H248" s="28">
        <v>24022552445</v>
      </c>
      <c r="I248" s="39"/>
      <c r="J248" s="28">
        <v>24022552445</v>
      </c>
      <c r="K248" s="39"/>
      <c r="L248" s="19"/>
      <c r="M248" s="39"/>
      <c r="N248" s="28"/>
      <c r="O248" s="39"/>
    </row>
    <row r="249" spans="1:15" ht="15.75">
      <c r="A249" s="40"/>
      <c r="B249" s="20"/>
      <c r="C249" s="2"/>
      <c r="D249" s="20"/>
      <c r="E249" s="39"/>
      <c r="F249" s="28"/>
      <c r="G249" s="39"/>
      <c r="H249" s="28"/>
      <c r="I249" s="39"/>
      <c r="J249" s="28"/>
      <c r="K249" s="39"/>
      <c r="L249" s="19"/>
      <c r="M249" s="39"/>
      <c r="N249" s="28"/>
      <c r="O249" s="39"/>
    </row>
    <row r="250" spans="1:15" ht="18" hidden="1">
      <c r="A250" s="40">
        <v>521</v>
      </c>
      <c r="B250" s="20"/>
      <c r="C250" s="2" t="s">
        <v>507</v>
      </c>
      <c r="D250" s="20"/>
      <c r="E250" s="39"/>
      <c r="F250" s="28"/>
      <c r="G250" s="39"/>
      <c r="H250" s="28"/>
      <c r="I250" s="39"/>
      <c r="J250" s="28"/>
      <c r="K250" s="39"/>
      <c r="L250" s="19"/>
      <c r="M250" s="39"/>
      <c r="N250" s="28"/>
      <c r="O250" s="39"/>
    </row>
    <row r="251" spans="1:15" ht="18" hidden="1">
      <c r="A251" s="40"/>
      <c r="B251" s="20"/>
      <c r="C251" s="2"/>
      <c r="D251" s="20"/>
      <c r="E251" s="39"/>
      <c r="F251" s="28"/>
      <c r="G251" s="39"/>
      <c r="H251" s="28"/>
      <c r="I251" s="39"/>
      <c r="J251" s="28"/>
      <c r="K251" s="39"/>
      <c r="L251" s="19"/>
      <c r="M251" s="39"/>
      <c r="N251" s="28"/>
      <c r="O251" s="39"/>
    </row>
    <row r="252" spans="1:15" ht="18" hidden="1">
      <c r="A252" s="40">
        <v>531</v>
      </c>
      <c r="B252" s="20"/>
      <c r="C252" s="2" t="s">
        <v>508</v>
      </c>
      <c r="D252" s="20"/>
      <c r="E252" s="39"/>
      <c r="F252" s="28"/>
      <c r="G252" s="39"/>
      <c r="H252" s="28"/>
      <c r="I252" s="39"/>
      <c r="J252" s="28"/>
      <c r="K252" s="39"/>
      <c r="L252" s="19"/>
      <c r="M252" s="39"/>
      <c r="N252" s="28"/>
      <c r="O252" s="39"/>
    </row>
    <row r="253" spans="1:15" ht="18" hidden="1">
      <c r="A253" s="40"/>
      <c r="B253" s="20"/>
      <c r="C253" s="2"/>
      <c r="D253" s="20"/>
      <c r="E253" s="39"/>
      <c r="F253" s="28"/>
      <c r="G253" s="39"/>
      <c r="H253" s="28"/>
      <c r="I253" s="39"/>
      <c r="J253" s="28"/>
      <c r="K253" s="39"/>
      <c r="L253" s="19"/>
      <c r="M253" s="39"/>
      <c r="N253" s="28"/>
      <c r="O253" s="39"/>
    </row>
    <row r="254" spans="1:15" ht="18" hidden="1">
      <c r="A254" s="40">
        <v>532</v>
      </c>
      <c r="B254" s="20"/>
      <c r="C254" s="2" t="s">
        <v>704</v>
      </c>
      <c r="D254" s="20"/>
      <c r="E254" s="39"/>
      <c r="F254" s="28"/>
      <c r="G254" s="39"/>
      <c r="H254" s="28"/>
      <c r="I254" s="39"/>
      <c r="J254" s="28"/>
      <c r="K254" s="39"/>
      <c r="L254" s="19"/>
      <c r="M254" s="39"/>
      <c r="N254" s="28"/>
      <c r="O254" s="39"/>
    </row>
    <row r="255" spans="1:15" ht="18" hidden="1">
      <c r="A255" s="40"/>
      <c r="B255" s="20"/>
      <c r="C255" s="2"/>
      <c r="D255" s="20"/>
      <c r="E255" s="39"/>
      <c r="F255" s="28"/>
      <c r="G255" s="39"/>
      <c r="H255" s="28"/>
      <c r="I255" s="39"/>
      <c r="J255" s="28"/>
      <c r="K255" s="39"/>
      <c r="L255" s="19"/>
      <c r="M255" s="39"/>
      <c r="N255" s="28"/>
      <c r="O255" s="39"/>
    </row>
    <row r="256" spans="1:15" ht="15.75">
      <c r="A256" s="40"/>
      <c r="B256" s="20"/>
      <c r="C256" s="2" t="s">
        <v>505</v>
      </c>
      <c r="D256" s="20"/>
      <c r="E256" s="39"/>
      <c r="F256" s="28"/>
      <c r="G256" s="39"/>
      <c r="H256" s="28"/>
      <c r="I256" s="39"/>
      <c r="J256" s="28"/>
      <c r="K256" s="39"/>
      <c r="L256" s="19"/>
      <c r="M256" s="39"/>
      <c r="N256" s="28"/>
      <c r="O256" s="39"/>
    </row>
    <row r="257" spans="1:15" ht="18" hidden="1">
      <c r="A257" s="40">
        <v>611</v>
      </c>
      <c r="B257" s="20"/>
      <c r="C257" s="2" t="s">
        <v>506</v>
      </c>
      <c r="D257" s="20"/>
      <c r="E257" s="39"/>
      <c r="F257" s="28"/>
      <c r="G257" s="39"/>
      <c r="H257" s="28"/>
      <c r="I257" s="39"/>
      <c r="J257" s="28"/>
      <c r="K257" s="39"/>
      <c r="L257" s="19"/>
      <c r="M257" s="39"/>
      <c r="N257" s="28"/>
      <c r="O257" s="39"/>
    </row>
    <row r="258" spans="1:15" ht="18" hidden="1">
      <c r="A258" s="40"/>
      <c r="B258" s="20"/>
      <c r="C258" s="2"/>
      <c r="D258" s="20"/>
      <c r="E258" s="39"/>
      <c r="F258" s="28"/>
      <c r="G258" s="39"/>
      <c r="H258" s="28"/>
      <c r="I258" s="39"/>
      <c r="J258" s="28"/>
      <c r="K258" s="39"/>
      <c r="L258" s="19"/>
      <c r="M258" s="39"/>
      <c r="N258" s="28"/>
      <c r="O258" s="39"/>
    </row>
    <row r="259" spans="1:15" ht="15.75">
      <c r="A259" s="40">
        <v>621</v>
      </c>
      <c r="B259" s="20"/>
      <c r="C259" s="2" t="s">
        <v>327</v>
      </c>
      <c r="D259" s="20"/>
      <c r="E259" s="39"/>
      <c r="F259" s="28"/>
      <c r="G259" s="39"/>
      <c r="H259" s="28">
        <v>41200224591</v>
      </c>
      <c r="I259" s="39"/>
      <c r="J259" s="28">
        <v>41200224591</v>
      </c>
      <c r="K259" s="257"/>
      <c r="L259" s="238"/>
      <c r="M259" s="257"/>
      <c r="N259" s="260"/>
      <c r="O259" s="39"/>
    </row>
    <row r="260" spans="1:15" ht="15.75" customHeight="1">
      <c r="A260" s="40"/>
      <c r="B260" s="20"/>
      <c r="C260" s="2"/>
      <c r="D260" s="20"/>
      <c r="E260" s="39"/>
      <c r="F260" s="28"/>
      <c r="G260" s="39"/>
      <c r="H260" s="28"/>
      <c r="I260" s="39"/>
      <c r="J260" s="28"/>
      <c r="K260" s="257"/>
      <c r="L260" s="238"/>
      <c r="M260" s="257"/>
      <c r="N260" s="260"/>
      <c r="O260" s="39"/>
    </row>
    <row r="261" spans="1:15" ht="15.75">
      <c r="A261" s="40">
        <v>622</v>
      </c>
      <c r="B261" s="20"/>
      <c r="C261" s="2" t="s">
        <v>328</v>
      </c>
      <c r="D261" s="20"/>
      <c r="E261" s="39"/>
      <c r="F261" s="28"/>
      <c r="G261" s="39"/>
      <c r="H261" s="28">
        <v>179796133762</v>
      </c>
      <c r="I261" s="39"/>
      <c r="J261" s="28">
        <v>179796133762</v>
      </c>
      <c r="K261" s="257"/>
      <c r="L261" s="238"/>
      <c r="M261" s="257"/>
      <c r="N261" s="260"/>
      <c r="O261" s="39"/>
    </row>
    <row r="262" spans="1:15" ht="15.75">
      <c r="A262" s="40"/>
      <c r="B262" s="20"/>
      <c r="C262" s="2"/>
      <c r="D262" s="20"/>
      <c r="E262" s="39"/>
      <c r="F262" s="28"/>
      <c r="G262" s="39"/>
      <c r="H262" s="28"/>
      <c r="I262" s="39"/>
      <c r="J262" s="28"/>
      <c r="K262" s="257"/>
      <c r="L262" s="238"/>
      <c r="M262" s="257"/>
      <c r="N262" s="260"/>
      <c r="O262" s="39"/>
    </row>
    <row r="263" spans="1:15" ht="18" hidden="1">
      <c r="A263" s="40">
        <v>623</v>
      </c>
      <c r="B263" s="20"/>
      <c r="C263" s="2" t="s">
        <v>978</v>
      </c>
      <c r="D263" s="20"/>
      <c r="E263" s="39"/>
      <c r="F263" s="28"/>
      <c r="G263" s="39"/>
      <c r="H263" s="28"/>
      <c r="I263" s="39"/>
      <c r="J263" s="28"/>
      <c r="K263" s="257"/>
      <c r="L263" s="238"/>
      <c r="M263" s="257"/>
      <c r="N263" s="260"/>
      <c r="O263" s="39"/>
    </row>
    <row r="264" spans="1:15" ht="18" hidden="1">
      <c r="A264" s="40"/>
      <c r="B264" s="20"/>
      <c r="C264" s="2"/>
      <c r="D264" s="20"/>
      <c r="E264" s="39"/>
      <c r="F264" s="28"/>
      <c r="G264" s="39"/>
      <c r="H264" s="28"/>
      <c r="I264" s="39"/>
      <c r="J264" s="28"/>
      <c r="K264" s="257"/>
      <c r="L264" s="238"/>
      <c r="M264" s="257"/>
      <c r="N264" s="260"/>
      <c r="O264" s="39"/>
    </row>
    <row r="265" spans="1:15" ht="15.75">
      <c r="A265" s="40">
        <v>627</v>
      </c>
      <c r="B265" s="20"/>
      <c r="C265" s="2" t="s">
        <v>329</v>
      </c>
      <c r="D265" s="20"/>
      <c r="E265" s="39"/>
      <c r="F265" s="28"/>
      <c r="G265" s="39"/>
      <c r="H265" s="28">
        <v>65311362570</v>
      </c>
      <c r="I265" s="359"/>
      <c r="J265" s="28">
        <v>65311362570</v>
      </c>
      <c r="K265" s="257"/>
      <c r="L265" s="238"/>
      <c r="M265" s="257"/>
      <c r="N265" s="260"/>
      <c r="O265" s="39"/>
    </row>
    <row r="266" spans="1:15" ht="15.75" customHeight="1">
      <c r="A266" s="40"/>
      <c r="B266" s="20"/>
      <c r="C266" s="2"/>
      <c r="D266" s="20"/>
      <c r="E266" s="39"/>
      <c r="F266" s="28"/>
      <c r="G266" s="39"/>
      <c r="H266" s="28"/>
      <c r="I266" s="39"/>
      <c r="J266" s="28"/>
      <c r="K266" s="257"/>
      <c r="L266" s="238"/>
      <c r="M266" s="257"/>
      <c r="N266" s="260"/>
      <c r="O266" s="39"/>
    </row>
    <row r="267" spans="1:15" ht="18" hidden="1">
      <c r="A267" s="40">
        <v>631</v>
      </c>
      <c r="B267" s="20"/>
      <c r="C267" s="2" t="s">
        <v>509</v>
      </c>
      <c r="D267" s="20"/>
      <c r="E267" s="39"/>
      <c r="F267" s="28"/>
      <c r="G267" s="39"/>
      <c r="H267" s="28"/>
      <c r="I267" s="39"/>
      <c r="J267" s="28"/>
      <c r="K267" s="257"/>
      <c r="L267" s="238"/>
      <c r="M267" s="257"/>
      <c r="N267" s="260"/>
      <c r="O267" s="39"/>
    </row>
    <row r="268" spans="1:15" ht="18" hidden="1">
      <c r="A268" s="40"/>
      <c r="B268" s="20"/>
      <c r="C268" s="2"/>
      <c r="D268" s="20"/>
      <c r="E268" s="39"/>
      <c r="F268" s="28"/>
      <c r="G268" s="39"/>
      <c r="H268" s="28"/>
      <c r="I268" s="39"/>
      <c r="J268" s="28"/>
      <c r="K268" s="257"/>
      <c r="L268" s="238"/>
      <c r="M268" s="257"/>
      <c r="N268" s="260"/>
      <c r="O268" s="39"/>
    </row>
    <row r="269" spans="1:15" ht="15.75">
      <c r="A269" s="40">
        <v>632</v>
      </c>
      <c r="B269" s="20"/>
      <c r="C269" s="2" t="s">
        <v>330</v>
      </c>
      <c r="D269" s="20"/>
      <c r="E269" s="39"/>
      <c r="F269" s="28"/>
      <c r="G269" s="39"/>
      <c r="H269" s="28">
        <v>279303427443</v>
      </c>
      <c r="I269" s="359"/>
      <c r="J269" s="28">
        <v>279303427443</v>
      </c>
      <c r="K269" s="257"/>
      <c r="L269" s="238"/>
      <c r="M269" s="257"/>
      <c r="N269" s="260"/>
      <c r="O269" s="39"/>
    </row>
    <row r="270" spans="1:15" ht="15.75">
      <c r="A270" s="241"/>
      <c r="B270" s="29"/>
      <c r="C270" s="137"/>
      <c r="D270" s="29"/>
      <c r="E270" s="47"/>
      <c r="F270" s="46"/>
      <c r="G270" s="47"/>
      <c r="H270" s="46"/>
      <c r="I270" s="47"/>
      <c r="J270" s="46"/>
      <c r="K270" s="264"/>
      <c r="L270" s="263"/>
      <c r="M270" s="264"/>
      <c r="N270" s="268"/>
      <c r="O270" s="47"/>
    </row>
    <row r="271" spans="1:15" ht="15.75">
      <c r="A271" s="228">
        <v>635</v>
      </c>
      <c r="B271" s="37"/>
      <c r="C271" s="3" t="s">
        <v>719</v>
      </c>
      <c r="D271" s="37"/>
      <c r="E271" s="38"/>
      <c r="F271" s="229"/>
      <c r="G271" s="38"/>
      <c r="H271" s="229">
        <v>3157122492</v>
      </c>
      <c r="I271" s="38"/>
      <c r="J271" s="229">
        <v>3157122492</v>
      </c>
      <c r="K271" s="259"/>
      <c r="L271" s="269"/>
      <c r="M271" s="259"/>
      <c r="N271" s="266"/>
      <c r="O271" s="38"/>
    </row>
    <row r="272" spans="1:15" ht="15.75" customHeight="1">
      <c r="A272" s="40"/>
      <c r="B272" s="20"/>
      <c r="C272" s="2"/>
      <c r="D272" s="20"/>
      <c r="E272" s="39"/>
      <c r="F272" s="28"/>
      <c r="G272" s="39"/>
      <c r="H272" s="19"/>
      <c r="I272" s="39"/>
      <c r="J272" s="19"/>
      <c r="K272" s="257"/>
      <c r="L272" s="238"/>
      <c r="M272" s="257"/>
      <c r="N272" s="260"/>
      <c r="O272" s="39"/>
    </row>
    <row r="273" spans="1:15" ht="15.75">
      <c r="A273" s="40">
        <v>641</v>
      </c>
      <c r="B273" s="20"/>
      <c r="C273" s="2" t="s">
        <v>331</v>
      </c>
      <c r="D273" s="20"/>
      <c r="E273" s="39"/>
      <c r="F273" s="28"/>
      <c r="G273" s="39"/>
      <c r="H273" s="28">
        <v>4242256930</v>
      </c>
      <c r="I273" s="39"/>
      <c r="J273" s="28">
        <v>4242256930</v>
      </c>
      <c r="K273" s="257"/>
      <c r="L273" s="238"/>
      <c r="M273" s="257"/>
      <c r="N273" s="260"/>
      <c r="O273" s="39"/>
    </row>
    <row r="274" spans="1:15" ht="15.75">
      <c r="A274" s="40"/>
      <c r="B274" s="20"/>
      <c r="C274" s="2"/>
      <c r="D274" s="20"/>
      <c r="E274" s="39"/>
      <c r="F274" s="28"/>
      <c r="G274" s="39"/>
      <c r="H274" s="28"/>
      <c r="I274" s="39"/>
      <c r="J274" s="28"/>
      <c r="K274" s="257"/>
      <c r="L274" s="238"/>
      <c r="M274" s="257"/>
      <c r="N274" s="260"/>
      <c r="O274" s="39"/>
    </row>
    <row r="275" spans="1:15" ht="15.75">
      <c r="A275" s="40">
        <v>642</v>
      </c>
      <c r="B275" s="20"/>
      <c r="C275" s="2" t="s">
        <v>332</v>
      </c>
      <c r="D275" s="20"/>
      <c r="E275" s="39"/>
      <c r="F275" s="28"/>
      <c r="G275" s="39"/>
      <c r="H275" s="28">
        <v>33085718438</v>
      </c>
      <c r="I275" s="39"/>
      <c r="J275" s="28">
        <v>33085718438</v>
      </c>
      <c r="K275" s="257"/>
      <c r="L275" s="238"/>
      <c r="M275" s="257"/>
      <c r="N275" s="260"/>
      <c r="O275" s="39"/>
    </row>
    <row r="276" spans="1:15" ht="15.75">
      <c r="A276" s="40"/>
      <c r="B276" s="20"/>
      <c r="C276" s="2"/>
      <c r="D276" s="20"/>
      <c r="E276" s="39"/>
      <c r="F276" s="28"/>
      <c r="G276" s="39"/>
      <c r="H276" s="28"/>
      <c r="I276" s="39"/>
      <c r="J276" s="28"/>
      <c r="K276" s="257"/>
      <c r="L276" s="238"/>
      <c r="M276" s="257"/>
      <c r="N276" s="260"/>
      <c r="O276" s="39"/>
    </row>
    <row r="277" spans="1:15" ht="15.75">
      <c r="A277" s="40"/>
      <c r="B277" s="20"/>
      <c r="C277" s="2" t="s">
        <v>510</v>
      </c>
      <c r="D277" s="20"/>
      <c r="E277" s="39"/>
      <c r="F277" s="28"/>
      <c r="G277" s="39"/>
      <c r="H277" s="28"/>
      <c r="I277" s="39"/>
      <c r="J277" s="28"/>
      <c r="K277" s="257"/>
      <c r="L277" s="238"/>
      <c r="M277" s="257"/>
      <c r="N277" s="260"/>
      <c r="O277" s="39"/>
    </row>
    <row r="278" spans="1:15" ht="15.75">
      <c r="A278" s="40">
        <v>711</v>
      </c>
      <c r="B278" s="20"/>
      <c r="C278" s="2" t="s">
        <v>720</v>
      </c>
      <c r="D278" s="20"/>
      <c r="E278" s="39"/>
      <c r="F278" s="28"/>
      <c r="G278" s="39"/>
      <c r="H278" s="28">
        <v>22698844935</v>
      </c>
      <c r="I278" s="39"/>
      <c r="J278" s="28">
        <v>22698844935</v>
      </c>
      <c r="K278" s="257"/>
      <c r="L278" s="238"/>
      <c r="M278" s="257"/>
      <c r="N278" s="238"/>
      <c r="O278" s="39"/>
    </row>
    <row r="279" spans="1:15" ht="15.75" customHeight="1">
      <c r="A279" s="20"/>
      <c r="B279" s="20"/>
      <c r="C279" s="15"/>
      <c r="D279" s="20"/>
      <c r="E279" s="39"/>
      <c r="F279" s="19"/>
      <c r="G279" s="39"/>
      <c r="H279" s="20"/>
      <c r="I279" s="39"/>
      <c r="J279" s="20"/>
      <c r="K279" s="257"/>
      <c r="L279" s="238"/>
      <c r="M279" s="257"/>
      <c r="N279" s="258"/>
      <c r="O279" s="39"/>
    </row>
    <row r="280" spans="1:15" ht="15.75">
      <c r="A280" s="40"/>
      <c r="B280" s="20"/>
      <c r="C280" s="2" t="s">
        <v>511</v>
      </c>
      <c r="D280" s="19"/>
      <c r="E280" s="39"/>
      <c r="F280" s="20"/>
      <c r="G280" s="39"/>
      <c r="H280" s="20"/>
      <c r="I280" s="39"/>
      <c r="J280" s="20"/>
      <c r="K280" s="257"/>
      <c r="L280" s="238"/>
      <c r="M280" s="257"/>
      <c r="N280" s="258"/>
      <c r="O280" s="39"/>
    </row>
    <row r="281" spans="1:15" ht="15.75">
      <c r="A281" s="40">
        <v>811</v>
      </c>
      <c r="B281" s="20"/>
      <c r="C281" s="2" t="s">
        <v>721</v>
      </c>
      <c r="D281" s="19"/>
      <c r="E281" s="39"/>
      <c r="F281" s="20"/>
      <c r="G281" s="39"/>
      <c r="H281" s="28">
        <v>9644939952</v>
      </c>
      <c r="I281" s="39"/>
      <c r="J281" s="28">
        <v>9644939952</v>
      </c>
      <c r="K281" s="257"/>
      <c r="L281" s="238"/>
      <c r="M281" s="257"/>
      <c r="N281" s="258"/>
      <c r="O281" s="39"/>
    </row>
    <row r="282" spans="1:15" ht="15.75" customHeight="1">
      <c r="A282" s="40"/>
      <c r="B282" s="20"/>
      <c r="C282" s="2"/>
      <c r="D282" s="19"/>
      <c r="E282" s="39"/>
      <c r="F282" s="20"/>
      <c r="G282" s="39"/>
      <c r="H282" s="20"/>
      <c r="I282" s="39"/>
      <c r="J282" s="20"/>
      <c r="K282" s="257"/>
      <c r="L282" s="238"/>
      <c r="M282" s="257"/>
      <c r="N282" s="258"/>
      <c r="O282" s="39"/>
    </row>
    <row r="283" spans="1:15" ht="15.75">
      <c r="A283" s="40">
        <v>821</v>
      </c>
      <c r="B283" s="20">
        <v>8211</v>
      </c>
      <c r="C283" s="2" t="s">
        <v>741</v>
      </c>
      <c r="D283" s="19"/>
      <c r="E283" s="39"/>
      <c r="F283" s="20"/>
      <c r="G283" s="39"/>
      <c r="H283" s="28">
        <v>18245202990</v>
      </c>
      <c r="I283" s="39"/>
      <c r="J283" s="28">
        <v>18245202990</v>
      </c>
      <c r="K283" s="257"/>
      <c r="L283" s="238"/>
      <c r="M283" s="257"/>
      <c r="N283" s="258"/>
      <c r="O283" s="39"/>
    </row>
    <row r="284" spans="1:15" ht="15.75">
      <c r="A284" s="40"/>
      <c r="B284" s="20"/>
      <c r="C284" s="2"/>
      <c r="D284" s="19"/>
      <c r="E284" s="39"/>
      <c r="F284" s="20"/>
      <c r="G284" s="39"/>
      <c r="H284" s="20"/>
      <c r="I284" s="39"/>
      <c r="J284" s="20"/>
      <c r="K284" s="257"/>
      <c r="L284" s="238"/>
      <c r="M284" s="257"/>
      <c r="N284" s="258"/>
      <c r="O284" s="39"/>
    </row>
    <row r="285" spans="1:15" ht="15.75">
      <c r="A285" s="40"/>
      <c r="B285" s="20"/>
      <c r="C285" s="2" t="s">
        <v>768</v>
      </c>
      <c r="D285" s="19"/>
      <c r="E285" s="39"/>
      <c r="F285" s="20"/>
      <c r="G285" s="39"/>
      <c r="H285" s="20"/>
      <c r="I285" s="39"/>
      <c r="J285" s="20"/>
      <c r="K285" s="257"/>
      <c r="L285" s="238"/>
      <c r="M285" s="257"/>
      <c r="N285" s="258"/>
      <c r="O285" s="39"/>
    </row>
    <row r="286" spans="1:15" ht="15.75">
      <c r="A286" s="40">
        <v>911</v>
      </c>
      <c r="B286" s="20"/>
      <c r="C286" s="2" t="s">
        <v>333</v>
      </c>
      <c r="D286" s="19"/>
      <c r="E286" s="39"/>
      <c r="F286" s="20"/>
      <c r="G286" s="39"/>
      <c r="H286" s="28">
        <v>493073055398</v>
      </c>
      <c r="I286" s="39"/>
      <c r="J286" s="28">
        <v>493073055398</v>
      </c>
      <c r="K286" s="257"/>
      <c r="L286" s="238"/>
      <c r="M286" s="257"/>
      <c r="N286" s="238"/>
      <c r="O286" s="39"/>
    </row>
    <row r="287" spans="1:15" ht="15.75" customHeight="1">
      <c r="A287" s="40"/>
      <c r="B287" s="20"/>
      <c r="C287" s="2"/>
      <c r="D287" s="19"/>
      <c r="E287" s="39"/>
      <c r="F287" s="20"/>
      <c r="G287" s="39"/>
      <c r="H287" s="20"/>
      <c r="I287" s="39"/>
      <c r="J287" s="20"/>
      <c r="K287" s="257"/>
      <c r="L287" s="258"/>
      <c r="M287" s="257"/>
      <c r="N287" s="258"/>
      <c r="O287" s="39"/>
    </row>
    <row r="288" spans="1:15" ht="15.75">
      <c r="A288" s="20"/>
      <c r="B288" s="20"/>
      <c r="C288" s="14" t="s">
        <v>842</v>
      </c>
      <c r="D288" s="28">
        <f>D8+D13+D39+D43+D47+D49+D51+D55+D60+D64+D69+D71+D73+D75+D77+D79+D85+D88+D99+D106+D110+D112+D115+D117+D120+D122+D124+D126+D128+D130+D132+D134+D136+D141+D143+D145+D147+D149+D153+D155+D157+D161+D170+D176+D179+D181+D183+D194+D196+D198+D200+D202+D204+D206+D208+D215+D221+D223+D225+D227+D229+D231+D233+D235+D237+D241+D244+D246+D248+D250+D252+D254+D257+D259+D261+D263+D265+D267+D269+D271+D273+D275+D278+D281+D283+D286</f>
        <v>960633998697</v>
      </c>
      <c r="E288" s="44"/>
      <c r="F288" s="28">
        <f>F8+F13+F39+F43+F47+F49+F51+F55+F60+F64+F69+F71+F73+F75+F77+F79+F85+F88+F99+F106+F110+F112+F115+F117+F120+F122+F124+F126+F128+F130+F132+F134+F136+F141+F143+F145+F147+F149+F153+F155+F157+F161+F170+F176+F179+F181+F183+F194+F196+F198+F200+F202+F204+F206+F208+F215+F221+F223+F225+F227+F229+F231+F233+F235+F237+F241+F244+F246+F248+F250+F252+F254+F257+F259+F261+F263+F265+F267+F269+F271+F273+F275+F278+F281+F283+F286</f>
        <v>960633998697</v>
      </c>
      <c r="G288" s="44"/>
      <c r="H288" s="28">
        <f>H8+H13+H39+H43+H47+H49+H51+H55+H60+H64+H69+H71+H73+H75+H77+H79+H85+H88+H99+H106+H110+H112+H115+H117+H120+H122+H124+H126+H128+H130+H132+H134+H136+H141+H143+H145+H147+H149+H153+H155+H157+H161+H170+H176+H179+H181+H183+H194+H196+H198+H200+H202+H204+H206+H208+H215+H221+H223+H225+H227+H229+H231+H233+H235+H237+H241+H244+H246+H248+H250+H252+H254+H257+H259+H261+H263+H265+H267+H269+H271+H273+H275+H278+H281+H283+H286</f>
        <v>4970329802393</v>
      </c>
      <c r="I288" s="44"/>
      <c r="J288" s="28">
        <f>J8+J13+J39+J43+J47+J49+J51+J55+J60+J64+J69+J71+J73+J75+J77+J79+J85+J88+J99+J106+J110+J112+J115+J117+J120+J122+J124+J126+J128+J130+J132+J134+J136+J141+J143+J145+J147+J149+J153+J155+J157+J161+J170+J176+J179+J181+J183+J194+J196+J198+J200+J202+J204+J206+J208+J215+J221+J223+J225+J227+J229+J231+J233+J235+J237+J241+J244+J246+J248+J250+J252+J254+J257+J259+J261+J263+J265+J267+J269+J271+J273+J275+J278+J281+J283+J286</f>
        <v>4970329802393</v>
      </c>
      <c r="K288" s="262"/>
      <c r="L288" s="28">
        <f>L8+L13+L39+L43+L47+L49+L51+L55+L60+L64+L69+L71+L73+L75+L77+L79+L85+L88+L99+L106+L110+L112+L115+L117+L120+L122+L124+L126+L128+L130+L132+L134+L136+L141+L143+L145+L147+L149+L153+L155+L157+L161+L170+L176+L179+L181+L183+L194+L196+L198+L200+L202+L204+L206+L208+L215+L221+L223+L225+L227+L229+L231+L233+L235+L237+L241+L244+L246+L248+L250+L252+L254+L257+L259+L261+L263+L265+L267+L269+L271+L273+L275+L278+L281+L283+L286</f>
        <v>1053016725742</v>
      </c>
      <c r="M288" s="262"/>
      <c r="N288" s="28">
        <f>N8+N13+N39+N43+N47+N49+N51+N55+N60+N64+N69+N71+N73+N75+N77+N79+N85+N88+N99+N106+N110+N112+N115+N117+N120+N122+N124+N126+N128+N130+N132+N134+N136+N141+N143+N145+N147+N149+N153+N155+N157+N161+N170+N176+N179+N181+N183+N194+N196+N198+N200+N202+N204+N206+N208+N215+N221+N223+N225+N227+N229+N231+N233+N235+N237+N241+N244+N246+N248+N250+N252+N254+N257+N259+N261+N263+N265+N267+N269+N271+N273+N275+N278+N281+N283+N286</f>
        <v>1053016725742</v>
      </c>
      <c r="O288" s="39"/>
    </row>
    <row r="289" spans="1:15" ht="15.75" customHeight="1">
      <c r="A289" s="20"/>
      <c r="B289" s="20"/>
      <c r="C289" s="361"/>
      <c r="D289" s="28"/>
      <c r="E289" s="44"/>
      <c r="F289" s="28">
        <f>D288-F288</f>
        <v>0</v>
      </c>
      <c r="G289" s="44"/>
      <c r="H289" s="146"/>
      <c r="I289" s="176"/>
      <c r="J289" s="146">
        <f>H288-J288</f>
        <v>0</v>
      </c>
      <c r="K289" s="44"/>
      <c r="L289" s="28"/>
      <c r="M289" s="44"/>
      <c r="N289" s="28">
        <f>L288-N288</f>
        <v>0</v>
      </c>
      <c r="O289" s="39"/>
    </row>
    <row r="290" spans="1:15" s="278" customFormat="1" ht="24" customHeight="1">
      <c r="A290" s="258"/>
      <c r="B290" s="258"/>
      <c r="C290" s="280" t="s">
        <v>334</v>
      </c>
      <c r="D290" s="258"/>
      <c r="E290" s="257"/>
      <c r="F290" s="258"/>
      <c r="G290" s="257"/>
      <c r="H290" s="258"/>
      <c r="I290" s="257"/>
      <c r="J290" s="238"/>
      <c r="K290" s="257"/>
      <c r="L290" s="258"/>
      <c r="M290" s="257"/>
      <c r="N290" s="238"/>
      <c r="O290" s="257"/>
    </row>
    <row r="291" spans="1:15" s="278" customFormat="1" ht="15.75">
      <c r="A291" s="279" t="s">
        <v>965</v>
      </c>
      <c r="B291" s="258"/>
      <c r="C291" s="280" t="s">
        <v>967</v>
      </c>
      <c r="D291" s="281">
        <v>958269119</v>
      </c>
      <c r="E291" s="257"/>
      <c r="F291" s="258"/>
      <c r="G291" s="257"/>
      <c r="H291" s="260">
        <v>0</v>
      </c>
      <c r="I291" s="282"/>
      <c r="J291" s="260">
        <f>3039171+4599000</f>
        <v>7638171</v>
      </c>
      <c r="K291" s="257"/>
      <c r="L291" s="281">
        <f>D291+H291-J291</f>
        <v>950630948</v>
      </c>
      <c r="M291" s="257"/>
      <c r="N291" s="258"/>
      <c r="O291" s="257"/>
    </row>
    <row r="292" spans="1:15" s="278" customFormat="1" ht="15.75">
      <c r="A292" s="279" t="s">
        <v>966</v>
      </c>
      <c r="B292" s="258"/>
      <c r="C292" s="280" t="s">
        <v>968</v>
      </c>
      <c r="D292" s="260">
        <v>1519655163</v>
      </c>
      <c r="E292" s="257"/>
      <c r="F292" s="258"/>
      <c r="G292" s="257"/>
      <c r="H292" s="260">
        <v>0</v>
      </c>
      <c r="I292" s="257"/>
      <c r="J292" s="260">
        <v>0</v>
      </c>
      <c r="K292" s="257"/>
      <c r="L292" s="281">
        <f>D292+H292-J292</f>
        <v>1519655163</v>
      </c>
      <c r="M292" s="257"/>
      <c r="N292" s="238"/>
      <c r="O292" s="257"/>
    </row>
    <row r="293" spans="1:15" s="278" customFormat="1" ht="15.75">
      <c r="A293" s="279" t="s">
        <v>357</v>
      </c>
      <c r="B293" s="258"/>
      <c r="C293" s="280" t="s">
        <v>335</v>
      </c>
      <c r="D293" s="283">
        <f>SUM(D294:D297)</f>
        <v>5414876.930000001</v>
      </c>
      <c r="E293" s="257"/>
      <c r="F293" s="258"/>
      <c r="G293" s="257"/>
      <c r="H293" s="283">
        <f>SUM(H294:H297)</f>
        <v>11696497.82</v>
      </c>
      <c r="I293" s="282"/>
      <c r="J293" s="283">
        <f>SUM(J294:J297)</f>
        <v>13045993.73</v>
      </c>
      <c r="K293" s="257"/>
      <c r="L293" s="283">
        <f>SUM(L294:L297)</f>
        <v>4065381.0200000023</v>
      </c>
      <c r="M293" s="257"/>
      <c r="N293" s="258"/>
      <c r="O293" s="257"/>
    </row>
    <row r="294" spans="1:15" s="278" customFormat="1" ht="15">
      <c r="A294" s="258"/>
      <c r="B294" s="284" t="s">
        <v>717</v>
      </c>
      <c r="C294" s="163" t="s">
        <v>183</v>
      </c>
      <c r="D294" s="285">
        <v>4242.8</v>
      </c>
      <c r="E294" s="257"/>
      <c r="F294" s="258"/>
      <c r="G294" s="257"/>
      <c r="H294" s="285">
        <v>27946</v>
      </c>
      <c r="I294" s="282"/>
      <c r="J294" s="285">
        <v>20578</v>
      </c>
      <c r="K294" s="257"/>
      <c r="L294" s="285">
        <f>D294+H294-J294</f>
        <v>11610.8</v>
      </c>
      <c r="M294" s="257"/>
      <c r="N294" s="258"/>
      <c r="O294" s="257"/>
    </row>
    <row r="295" spans="1:15" s="278" customFormat="1" ht="15">
      <c r="A295" s="258"/>
      <c r="B295" s="284" t="s">
        <v>718</v>
      </c>
      <c r="C295" s="163" t="s">
        <v>929</v>
      </c>
      <c r="D295" s="285">
        <v>5410634.130000001</v>
      </c>
      <c r="E295" s="257"/>
      <c r="F295" s="258"/>
      <c r="G295" s="257"/>
      <c r="H295" s="285">
        <v>11668551.82</v>
      </c>
      <c r="I295" s="282"/>
      <c r="J295" s="285">
        <v>13025415.73</v>
      </c>
      <c r="K295" s="257"/>
      <c r="L295" s="285">
        <f>D295+H295-J295</f>
        <v>4053770.2200000025</v>
      </c>
      <c r="M295" s="257"/>
      <c r="N295" s="258"/>
      <c r="O295" s="257"/>
    </row>
    <row r="296" spans="1:15" s="278" customFormat="1" ht="17.25" hidden="1">
      <c r="A296" s="258"/>
      <c r="B296" s="284" t="s">
        <v>88</v>
      </c>
      <c r="C296" s="163" t="s">
        <v>450</v>
      </c>
      <c r="D296" s="285">
        <v>0</v>
      </c>
      <c r="E296" s="257"/>
      <c r="F296" s="258"/>
      <c r="G296" s="257"/>
      <c r="H296" s="285"/>
      <c r="I296" s="282"/>
      <c r="J296" s="285"/>
      <c r="K296" s="257"/>
      <c r="L296" s="285">
        <f>D296+H296-J296</f>
        <v>0</v>
      </c>
      <c r="M296" s="257"/>
      <c r="N296" s="258"/>
      <c r="O296" s="257"/>
    </row>
    <row r="297" spans="1:15" s="278" customFormat="1" ht="17.25" hidden="1">
      <c r="A297" s="258"/>
      <c r="B297" s="284" t="s">
        <v>718</v>
      </c>
      <c r="C297" s="163" t="s">
        <v>85</v>
      </c>
      <c r="D297" s="285">
        <v>0</v>
      </c>
      <c r="E297" s="257"/>
      <c r="F297" s="258"/>
      <c r="G297" s="257"/>
      <c r="H297" s="285">
        <v>0</v>
      </c>
      <c r="I297" s="282"/>
      <c r="J297" s="285">
        <v>0</v>
      </c>
      <c r="K297" s="257"/>
      <c r="L297" s="285">
        <f>D297+H297-J297</f>
        <v>0</v>
      </c>
      <c r="M297" s="257"/>
      <c r="N297" s="258"/>
      <c r="O297" s="257"/>
    </row>
    <row r="298" spans="1:15" s="278" customFormat="1" ht="18" hidden="1">
      <c r="A298" s="279" t="s">
        <v>358</v>
      </c>
      <c r="B298" s="258"/>
      <c r="C298" s="280" t="s">
        <v>336</v>
      </c>
      <c r="D298" s="258"/>
      <c r="E298" s="257"/>
      <c r="F298" s="258"/>
      <c r="G298" s="257"/>
      <c r="H298" s="286"/>
      <c r="I298" s="282"/>
      <c r="J298" s="286"/>
      <c r="K298" s="257"/>
      <c r="L298" s="258"/>
      <c r="M298" s="257"/>
      <c r="N298" s="258"/>
      <c r="O298" s="257"/>
    </row>
    <row r="299" spans="1:15" s="278" customFormat="1" ht="18" hidden="1">
      <c r="A299" s="279" t="s">
        <v>359</v>
      </c>
      <c r="B299" s="258"/>
      <c r="C299" s="280" t="s">
        <v>337</v>
      </c>
      <c r="D299" s="260"/>
      <c r="E299" s="257"/>
      <c r="F299" s="258"/>
      <c r="G299" s="257"/>
      <c r="H299" s="260"/>
      <c r="I299" s="257"/>
      <c r="J299" s="260"/>
      <c r="K299" s="257"/>
      <c r="L299" s="260"/>
      <c r="M299" s="257"/>
      <c r="N299" s="238"/>
      <c r="O299" s="257"/>
    </row>
    <row r="300" spans="1:15" s="278" customFormat="1" ht="15">
      <c r="A300" s="287"/>
      <c r="B300" s="287"/>
      <c r="C300" s="288"/>
      <c r="D300" s="287"/>
      <c r="E300" s="264"/>
      <c r="F300" s="287"/>
      <c r="G300" s="264"/>
      <c r="H300" s="263"/>
      <c r="I300" s="264"/>
      <c r="J300" s="287"/>
      <c r="K300" s="264"/>
      <c r="L300" s="263"/>
      <c r="M300" s="264"/>
      <c r="N300" s="287"/>
      <c r="O300" s="264"/>
    </row>
    <row r="301" spans="8:12" s="73" customFormat="1" ht="17.25" hidden="1">
      <c r="H301" s="159"/>
      <c r="L301" s="159"/>
    </row>
    <row r="302" spans="8:12" s="73" customFormat="1" ht="15">
      <c r="H302" s="159"/>
      <c r="L302" s="159"/>
    </row>
    <row r="303" spans="3:12" ht="24" customHeight="1">
      <c r="C303" s="49" t="s">
        <v>644</v>
      </c>
      <c r="F303" s="45" t="s">
        <v>645</v>
      </c>
      <c r="L303" s="49" t="s">
        <v>771</v>
      </c>
    </row>
    <row r="304" ht="15"/>
    <row r="305" ht="15"/>
    <row r="306" ht="15"/>
    <row r="307" ht="15"/>
    <row r="308" ht="15">
      <c r="C308" s="88" t="s">
        <v>1035</v>
      </c>
    </row>
    <row r="319" ht="15"/>
    <row r="320" ht="15"/>
    <row r="321" ht="15"/>
    <row r="322" ht="15"/>
    <row r="324" ht="15"/>
    <row r="325" ht="15"/>
    <row r="326" ht="15"/>
    <row r="327" ht="15"/>
  </sheetData>
  <sheetProtection/>
  <mergeCells count="3">
    <mergeCell ref="C5:C6"/>
    <mergeCell ref="A4:O4"/>
    <mergeCell ref="A5:B5"/>
  </mergeCells>
  <printOptions horizontalCentered="1"/>
  <pageMargins left="0.75" right="0" top="0.25" bottom="0" header="0" footer="0"/>
  <pageSetup horizontalDpi="180" verticalDpi="180" orientation="landscape" paperSize="9" scale="80" r:id="rId3"/>
  <legacyDrawing r:id="rId2"/>
</worksheet>
</file>

<file path=xl/worksheets/sheet5.xml><?xml version="1.0" encoding="utf-8"?>
<worksheet xmlns="http://schemas.openxmlformats.org/spreadsheetml/2006/main" xmlns:r="http://schemas.openxmlformats.org/officeDocument/2006/relationships">
  <dimension ref="A1:H709"/>
  <sheetViews>
    <sheetView zoomScale="90" zoomScaleNormal="90" zoomScalePageLayoutView="0" workbookViewId="0" topLeftCell="A1">
      <selection activeCell="F1" sqref="F1:G1"/>
    </sheetView>
  </sheetViews>
  <sheetFormatPr defaultColWidth="8.796875" defaultRowHeight="15"/>
  <cols>
    <col min="1" max="1" width="28.59765625" style="12" customWidth="1"/>
    <col min="2" max="2" width="15" style="18" customWidth="1"/>
    <col min="3" max="3" width="15.19921875" style="18" customWidth="1"/>
    <col min="4" max="5" width="15.8984375" style="18" customWidth="1"/>
    <col min="6" max="6" width="16.09765625" style="18" customWidth="1"/>
    <col min="7" max="7" width="17.59765625" style="18" customWidth="1"/>
    <col min="8" max="16384" width="9" style="12" customWidth="1"/>
  </cols>
  <sheetData>
    <row r="1" spans="1:7" s="103" customFormat="1" ht="15">
      <c r="A1" s="109" t="s">
        <v>675</v>
      </c>
      <c r="B1" s="104"/>
      <c r="C1" s="104"/>
      <c r="D1" s="104"/>
      <c r="E1" s="104"/>
      <c r="F1" s="413" t="s">
        <v>265</v>
      </c>
      <c r="G1" s="413"/>
    </row>
    <row r="2" spans="1:7" s="103" customFormat="1" ht="15">
      <c r="A2" s="101" t="s">
        <v>632</v>
      </c>
      <c r="B2" s="104"/>
      <c r="C2" s="104"/>
      <c r="D2" s="104"/>
      <c r="E2" s="104"/>
      <c r="F2" s="409" t="s">
        <v>260</v>
      </c>
      <c r="G2" s="409"/>
    </row>
    <row r="3" spans="1:7" s="103" customFormat="1" ht="15">
      <c r="A3" s="101" t="s">
        <v>261</v>
      </c>
      <c r="B3" s="104"/>
      <c r="C3" s="104"/>
      <c r="D3" s="104"/>
      <c r="E3" s="104"/>
      <c r="F3" s="409" t="s">
        <v>258</v>
      </c>
      <c r="G3" s="409"/>
    </row>
    <row r="4" spans="1:7" s="103" customFormat="1" ht="23.25">
      <c r="A4" s="414" t="s">
        <v>885</v>
      </c>
      <c r="B4" s="414"/>
      <c r="C4" s="414"/>
      <c r="D4" s="414"/>
      <c r="E4" s="414"/>
      <c r="F4" s="414"/>
      <c r="G4" s="414"/>
    </row>
    <row r="5" spans="1:7" s="103" customFormat="1" ht="18">
      <c r="A5" s="376" t="s">
        <v>1170</v>
      </c>
      <c r="B5" s="376"/>
      <c r="C5" s="376"/>
      <c r="D5" s="376"/>
      <c r="E5" s="376"/>
      <c r="F5" s="376"/>
      <c r="G5" s="376"/>
    </row>
    <row r="6" spans="1:7" ht="18">
      <c r="A6" s="410"/>
      <c r="B6" s="410"/>
      <c r="C6" s="410"/>
      <c r="D6" s="410"/>
      <c r="E6" s="410"/>
      <c r="F6" s="410"/>
      <c r="G6" s="410"/>
    </row>
    <row r="7" ht="15.75">
      <c r="A7" s="6" t="s">
        <v>1151</v>
      </c>
    </row>
    <row r="8" ht="15.75">
      <c r="A8" s="7" t="s">
        <v>910</v>
      </c>
    </row>
    <row r="9" ht="15">
      <c r="A9" s="12" t="s">
        <v>299</v>
      </c>
    </row>
    <row r="10" ht="15">
      <c r="A10" s="12" t="s">
        <v>33</v>
      </c>
    </row>
    <row r="11" ht="15">
      <c r="A11" s="12" t="s">
        <v>34</v>
      </c>
    </row>
    <row r="12" ht="15">
      <c r="A12" s="12" t="s">
        <v>1110</v>
      </c>
    </row>
    <row r="13" ht="15">
      <c r="A13" s="12" t="s">
        <v>1111</v>
      </c>
    </row>
    <row r="14" ht="15.75">
      <c r="A14" s="7" t="s">
        <v>912</v>
      </c>
    </row>
    <row r="15" ht="15">
      <c r="A15" s="12" t="s">
        <v>1109</v>
      </c>
    </row>
    <row r="16" ht="15.75">
      <c r="A16" s="7" t="s">
        <v>913</v>
      </c>
    </row>
    <row r="17" ht="15">
      <c r="A17" s="12" t="s">
        <v>810</v>
      </c>
    </row>
    <row r="18" ht="15">
      <c r="A18" s="12" t="s">
        <v>811</v>
      </c>
    </row>
    <row r="19" ht="15">
      <c r="A19" s="12" t="s">
        <v>812</v>
      </c>
    </row>
    <row r="20" spans="1:7" ht="15">
      <c r="A20" s="12" t="s">
        <v>742</v>
      </c>
      <c r="F20" s="408"/>
      <c r="G20" s="408"/>
    </row>
    <row r="21" spans="1:7" ht="15">
      <c r="A21" s="12" t="s">
        <v>743</v>
      </c>
      <c r="F21" s="408"/>
      <c r="G21" s="408"/>
    </row>
    <row r="22" spans="1:7" ht="15">
      <c r="A22" s="12" t="s">
        <v>744</v>
      </c>
      <c r="F22" s="408"/>
      <c r="G22" s="408"/>
    </row>
    <row r="23" ht="15">
      <c r="A23" s="12" t="s">
        <v>745</v>
      </c>
    </row>
    <row r="24" ht="15">
      <c r="A24" s="12" t="s">
        <v>746</v>
      </c>
    </row>
    <row r="25" ht="15">
      <c r="A25" s="12" t="s">
        <v>747</v>
      </c>
    </row>
    <row r="26" ht="15">
      <c r="A26" s="12" t="s">
        <v>748</v>
      </c>
    </row>
    <row r="27" ht="15">
      <c r="A27" s="12" t="s">
        <v>749</v>
      </c>
    </row>
    <row r="28" ht="15">
      <c r="A28" s="12" t="s">
        <v>750</v>
      </c>
    </row>
    <row r="29" ht="15">
      <c r="A29" s="12" t="s">
        <v>751</v>
      </c>
    </row>
    <row r="30" spans="1:7" s="135" customFormat="1" ht="15">
      <c r="A30" s="149" t="s">
        <v>993</v>
      </c>
      <c r="B30" s="134"/>
      <c r="C30" s="134"/>
      <c r="D30" s="134"/>
      <c r="E30" s="134"/>
      <c r="F30" s="134"/>
      <c r="G30" s="134"/>
    </row>
    <row r="31" spans="2:7" s="135" customFormat="1" ht="15">
      <c r="B31" s="134"/>
      <c r="C31" s="134"/>
      <c r="D31" s="134"/>
      <c r="E31" s="134"/>
      <c r="F31" s="134"/>
      <c r="G31" s="134"/>
    </row>
    <row r="32" ht="15.75">
      <c r="A32" s="6" t="s">
        <v>1153</v>
      </c>
    </row>
    <row r="33" ht="15">
      <c r="A33" s="12" t="s">
        <v>1167</v>
      </c>
    </row>
    <row r="34" ht="15">
      <c r="A34" s="12" t="s">
        <v>300</v>
      </c>
    </row>
    <row r="35" ht="15.75">
      <c r="A35" s="6" t="s">
        <v>1152</v>
      </c>
    </row>
    <row r="36" ht="17.25" hidden="1">
      <c r="A36" s="7" t="s">
        <v>301</v>
      </c>
    </row>
    <row r="37" spans="1:7" s="135" customFormat="1" ht="17.25" hidden="1">
      <c r="A37" s="149" t="s">
        <v>31</v>
      </c>
      <c r="B37" s="134"/>
      <c r="C37" s="134"/>
      <c r="D37" s="134"/>
      <c r="E37" s="134"/>
      <c r="F37" s="134"/>
      <c r="G37" s="134"/>
    </row>
    <row r="38" spans="1:7" s="135" customFormat="1" ht="17.25" hidden="1">
      <c r="A38" s="149" t="s">
        <v>32</v>
      </c>
      <c r="B38" s="134"/>
      <c r="C38" s="134"/>
      <c r="D38" s="134"/>
      <c r="E38" s="134"/>
      <c r="F38" s="134"/>
      <c r="G38" s="134"/>
    </row>
    <row r="39" ht="17.25" hidden="1">
      <c r="A39" s="7" t="s">
        <v>708</v>
      </c>
    </row>
    <row r="40" ht="17.25" hidden="1">
      <c r="A40" s="12" t="s">
        <v>79</v>
      </c>
    </row>
    <row r="41" ht="17.25" hidden="1">
      <c r="A41" s="12" t="s">
        <v>80</v>
      </c>
    </row>
    <row r="42" ht="17.25" hidden="1">
      <c r="A42" s="7" t="s">
        <v>709</v>
      </c>
    </row>
    <row r="43" ht="17.25" hidden="1">
      <c r="A43" s="12" t="s">
        <v>302</v>
      </c>
    </row>
    <row r="44" ht="15.75">
      <c r="A44" s="6" t="s">
        <v>1154</v>
      </c>
    </row>
    <row r="45" ht="17.25" hidden="1">
      <c r="A45" s="7" t="s">
        <v>914</v>
      </c>
    </row>
    <row r="46" ht="17.25" hidden="1">
      <c r="A46" s="12" t="s">
        <v>188</v>
      </c>
    </row>
    <row r="47" ht="17.25" hidden="1">
      <c r="A47" s="12" t="s">
        <v>14</v>
      </c>
    </row>
    <row r="48" ht="17.25" hidden="1">
      <c r="A48" s="12" t="s">
        <v>187</v>
      </c>
    </row>
    <row r="49" ht="17.25" hidden="1">
      <c r="A49" s="12" t="s">
        <v>13</v>
      </c>
    </row>
    <row r="50" ht="17.25" hidden="1">
      <c r="A50" s="12" t="s">
        <v>12</v>
      </c>
    </row>
    <row r="51" ht="17.25" hidden="1">
      <c r="A51" s="12" t="s">
        <v>11</v>
      </c>
    </row>
    <row r="52" ht="17.25" hidden="1">
      <c r="A52" s="12" t="s">
        <v>10</v>
      </c>
    </row>
    <row r="53" ht="17.25" hidden="1">
      <c r="A53" s="12" t="s">
        <v>81</v>
      </c>
    </row>
    <row r="54" ht="17.25" hidden="1">
      <c r="A54" s="7" t="s">
        <v>915</v>
      </c>
    </row>
    <row r="55" ht="17.25" hidden="1">
      <c r="A55" s="7" t="s">
        <v>518</v>
      </c>
    </row>
    <row r="56" ht="17.25" hidden="1">
      <c r="A56" s="12" t="s">
        <v>5</v>
      </c>
    </row>
    <row r="57" ht="17.25" hidden="1">
      <c r="A57" s="12" t="s">
        <v>6</v>
      </c>
    </row>
    <row r="58" ht="17.25" hidden="1">
      <c r="A58" s="12" t="s">
        <v>7</v>
      </c>
    </row>
    <row r="59" ht="17.25" hidden="1">
      <c r="A59" s="12" t="s">
        <v>630</v>
      </c>
    </row>
    <row r="60" ht="17.25" hidden="1">
      <c r="A60" s="12" t="s">
        <v>9</v>
      </c>
    </row>
    <row r="61" ht="17.25" hidden="1">
      <c r="A61" s="12" t="s">
        <v>631</v>
      </c>
    </row>
    <row r="62" ht="17.25" hidden="1">
      <c r="A62" s="12" t="s">
        <v>969</v>
      </c>
    </row>
    <row r="63" ht="17.25" hidden="1">
      <c r="A63" s="12" t="s">
        <v>970</v>
      </c>
    </row>
    <row r="64" ht="17.25" hidden="1">
      <c r="A64" s="12" t="s">
        <v>971</v>
      </c>
    </row>
    <row r="65" ht="17.25" hidden="1">
      <c r="A65" s="12" t="s">
        <v>972</v>
      </c>
    </row>
    <row r="66" ht="17.25" hidden="1">
      <c r="A66" s="12" t="s">
        <v>4</v>
      </c>
    </row>
    <row r="67" ht="17.25" hidden="1">
      <c r="A67" s="12" t="s">
        <v>3</v>
      </c>
    </row>
    <row r="68" ht="17.25" hidden="1">
      <c r="A68" s="12" t="s">
        <v>973</v>
      </c>
    </row>
    <row r="69" ht="17.25" hidden="1">
      <c r="A69" s="7" t="s">
        <v>519</v>
      </c>
    </row>
    <row r="70" ht="17.25" hidden="1">
      <c r="A70" s="7" t="s">
        <v>22</v>
      </c>
    </row>
    <row r="71" ht="17.25" hidden="1">
      <c r="A71" s="7" t="s">
        <v>23</v>
      </c>
    </row>
    <row r="72" ht="17.25" hidden="1">
      <c r="A72" s="12" t="s">
        <v>2</v>
      </c>
    </row>
    <row r="73" ht="17.25" hidden="1">
      <c r="A73" s="7" t="s">
        <v>916</v>
      </c>
    </row>
    <row r="74" ht="17.25" hidden="1">
      <c r="A74" s="7" t="s">
        <v>24</v>
      </c>
    </row>
    <row r="75" ht="17.25" hidden="1">
      <c r="A75" s="12" t="s">
        <v>1</v>
      </c>
    </row>
    <row r="76" ht="17.25" hidden="1">
      <c r="A76" s="7" t="s">
        <v>25</v>
      </c>
    </row>
    <row r="77" spans="1:5" ht="17.25" hidden="1">
      <c r="A77" s="12" t="s">
        <v>520</v>
      </c>
      <c r="E77" s="18" t="s">
        <v>560</v>
      </c>
    </row>
    <row r="78" spans="1:5" ht="17.25" hidden="1">
      <c r="A78" s="12" t="s">
        <v>567</v>
      </c>
      <c r="E78" s="18" t="s">
        <v>561</v>
      </c>
    </row>
    <row r="79" spans="1:5" ht="17.25" hidden="1">
      <c r="A79" s="12" t="s">
        <v>568</v>
      </c>
      <c r="E79" s="18" t="s">
        <v>561</v>
      </c>
    </row>
    <row r="80" spans="1:5" ht="17.25" hidden="1">
      <c r="A80" s="12" t="s">
        <v>569</v>
      </c>
      <c r="E80" s="18" t="s">
        <v>562</v>
      </c>
    </row>
    <row r="81" spans="1:5" ht="17.25" hidden="1">
      <c r="A81" s="12" t="s">
        <v>570</v>
      </c>
      <c r="E81" s="18" t="s">
        <v>563</v>
      </c>
    </row>
    <row r="82" ht="17.25" hidden="1">
      <c r="A82" s="12" t="s">
        <v>82</v>
      </c>
    </row>
    <row r="83" ht="17.25" hidden="1">
      <c r="A83" s="12" t="s">
        <v>83</v>
      </c>
    </row>
    <row r="84" ht="17.25" hidden="1">
      <c r="A84" s="12" t="s">
        <v>89</v>
      </c>
    </row>
    <row r="85" spans="1:7" ht="17.25" hidden="1">
      <c r="A85" s="148" t="s">
        <v>90</v>
      </c>
      <c r="B85" s="12"/>
      <c r="C85" s="97" t="s">
        <v>813</v>
      </c>
      <c r="E85" s="148" t="s">
        <v>90</v>
      </c>
      <c r="G85" s="97" t="s">
        <v>813</v>
      </c>
    </row>
    <row r="86" spans="1:7" ht="17.25" hidden="1">
      <c r="A86" s="12" t="s">
        <v>91</v>
      </c>
      <c r="B86" s="12"/>
      <c r="C86" s="150">
        <v>2</v>
      </c>
      <c r="E86" s="12" t="s">
        <v>692</v>
      </c>
      <c r="G86" s="150">
        <v>7</v>
      </c>
    </row>
    <row r="87" spans="1:7" ht="17.25" hidden="1">
      <c r="A87" s="12" t="s">
        <v>683</v>
      </c>
      <c r="B87" s="12"/>
      <c r="C87" s="150">
        <v>2.75</v>
      </c>
      <c r="E87" s="12" t="s">
        <v>693</v>
      </c>
      <c r="G87" s="150">
        <v>6.75</v>
      </c>
    </row>
    <row r="88" spans="1:7" ht="17.25" hidden="1">
      <c r="A88" s="12" t="s">
        <v>684</v>
      </c>
      <c r="B88" s="12"/>
      <c r="C88" s="150">
        <v>3.5</v>
      </c>
      <c r="E88" s="12" t="s">
        <v>694</v>
      </c>
      <c r="G88" s="150">
        <v>6.25</v>
      </c>
    </row>
    <row r="89" spans="1:7" ht="17.25" hidden="1">
      <c r="A89" s="12" t="s">
        <v>685</v>
      </c>
      <c r="B89" s="12"/>
      <c r="C89" s="150">
        <v>4</v>
      </c>
      <c r="E89" s="12" t="s">
        <v>695</v>
      </c>
      <c r="G89" s="150">
        <v>5.5</v>
      </c>
    </row>
    <row r="90" spans="1:7" ht="17.25" hidden="1">
      <c r="A90" s="12" t="s">
        <v>686</v>
      </c>
      <c r="B90" s="12"/>
      <c r="C90" s="150">
        <v>4.5</v>
      </c>
      <c r="E90" s="12" t="s">
        <v>696</v>
      </c>
      <c r="G90" s="150">
        <v>5.25</v>
      </c>
    </row>
    <row r="91" spans="1:7" ht="17.25" hidden="1">
      <c r="A91" s="12" t="s">
        <v>687</v>
      </c>
      <c r="B91" s="12"/>
      <c r="C91" s="150">
        <v>4.25</v>
      </c>
      <c r="E91" s="12" t="s">
        <v>697</v>
      </c>
      <c r="G91" s="150">
        <v>5.25</v>
      </c>
    </row>
    <row r="92" spans="1:7" ht="17.25" hidden="1">
      <c r="A92" s="12" t="s">
        <v>688</v>
      </c>
      <c r="B92" s="12"/>
      <c r="C92" s="150">
        <v>4.75</v>
      </c>
      <c r="E92" s="12" t="s">
        <v>698</v>
      </c>
      <c r="G92" s="150">
        <v>5</v>
      </c>
    </row>
    <row r="93" spans="1:7" ht="17.25" hidden="1">
      <c r="A93" s="12" t="s">
        <v>689</v>
      </c>
      <c r="B93" s="12"/>
      <c r="C93" s="150">
        <v>5</v>
      </c>
      <c r="E93" s="12" t="s">
        <v>699</v>
      </c>
      <c r="G93" s="150">
        <v>5.75</v>
      </c>
    </row>
    <row r="94" spans="1:7" ht="17.25" hidden="1">
      <c r="A94" s="12" t="s">
        <v>690</v>
      </c>
      <c r="B94" s="12"/>
      <c r="C94" s="150">
        <v>5.25</v>
      </c>
      <c r="E94" s="12" t="s">
        <v>700</v>
      </c>
      <c r="G94" s="150">
        <v>5.75</v>
      </c>
    </row>
    <row r="95" spans="1:5" ht="17.25" hidden="1">
      <c r="A95" s="12" t="s">
        <v>691</v>
      </c>
      <c r="B95" s="12"/>
      <c r="C95" s="150">
        <v>5.25</v>
      </c>
      <c r="E95" s="150"/>
    </row>
    <row r="96" spans="1:5" ht="17.25" hidden="1">
      <c r="A96" s="12" t="s">
        <v>701</v>
      </c>
      <c r="E96" s="150"/>
    </row>
    <row r="97" ht="17.25" hidden="1">
      <c r="A97" s="7" t="s">
        <v>917</v>
      </c>
    </row>
    <row r="98" ht="17.25" hidden="1">
      <c r="A98" s="12" t="s">
        <v>189</v>
      </c>
    </row>
    <row r="99" ht="17.25" hidden="1">
      <c r="A99" s="12" t="s">
        <v>213</v>
      </c>
    </row>
    <row r="100" ht="17.25" hidden="1">
      <c r="A100" s="7" t="s">
        <v>918</v>
      </c>
    </row>
    <row r="101" ht="17.25" hidden="1">
      <c r="A101" s="7" t="s">
        <v>26</v>
      </c>
    </row>
    <row r="102" ht="17.25" hidden="1">
      <c r="A102" s="12" t="s">
        <v>1157</v>
      </c>
    </row>
    <row r="103" ht="17.25" hidden="1">
      <c r="A103" s="12" t="s">
        <v>0</v>
      </c>
    </row>
    <row r="104" ht="17.25" hidden="1">
      <c r="A104" s="7" t="s">
        <v>27</v>
      </c>
    </row>
    <row r="105" ht="17.25" hidden="1">
      <c r="A105" s="12" t="s">
        <v>405</v>
      </c>
    </row>
    <row r="106" ht="17.25" hidden="1">
      <c r="A106" s="12" t="s">
        <v>409</v>
      </c>
    </row>
    <row r="107" ht="17.25" hidden="1">
      <c r="A107" s="12" t="s">
        <v>247</v>
      </c>
    </row>
    <row r="108" ht="17.25" hidden="1">
      <c r="A108" s="7" t="s">
        <v>28</v>
      </c>
    </row>
    <row r="109" ht="17.25" hidden="1">
      <c r="A109" s="12" t="s">
        <v>405</v>
      </c>
    </row>
    <row r="110" ht="17.25" hidden="1">
      <c r="A110" s="12" t="s">
        <v>409</v>
      </c>
    </row>
    <row r="111" ht="17.25" hidden="1">
      <c r="A111" s="12" t="s">
        <v>247</v>
      </c>
    </row>
    <row r="112" ht="17.25" hidden="1">
      <c r="A112" s="7" t="s">
        <v>29</v>
      </c>
    </row>
    <row r="113" ht="17.25" hidden="1">
      <c r="A113" s="12" t="s">
        <v>713</v>
      </c>
    </row>
    <row r="114" ht="17.25" hidden="1">
      <c r="A114" s="7" t="s">
        <v>543</v>
      </c>
    </row>
    <row r="115" ht="17.25" hidden="1">
      <c r="A115" s="7" t="s">
        <v>30</v>
      </c>
    </row>
    <row r="116" ht="17.25" hidden="1">
      <c r="A116" s="12" t="s">
        <v>940</v>
      </c>
    </row>
    <row r="117" ht="17.25" hidden="1">
      <c r="A117" s="12" t="s">
        <v>939</v>
      </c>
    </row>
    <row r="118" ht="17.25" hidden="1">
      <c r="A118" s="12" t="s">
        <v>572</v>
      </c>
    </row>
    <row r="119" ht="17.25" hidden="1">
      <c r="A119" s="12" t="s">
        <v>571</v>
      </c>
    </row>
    <row r="120" ht="17.25" hidden="1">
      <c r="A120" s="12" t="s">
        <v>941</v>
      </c>
    </row>
    <row r="121" ht="17.25" hidden="1">
      <c r="A121" s="12" t="s">
        <v>574</v>
      </c>
    </row>
    <row r="122" ht="17.25" hidden="1">
      <c r="A122" s="12" t="s">
        <v>942</v>
      </c>
    </row>
    <row r="123" ht="17.25" hidden="1">
      <c r="A123" s="12" t="s">
        <v>943</v>
      </c>
    </row>
    <row r="124" ht="17.25" hidden="1">
      <c r="A124" s="12" t="s">
        <v>711</v>
      </c>
    </row>
    <row r="125" ht="17.25" hidden="1">
      <c r="A125" s="12" t="s">
        <v>712</v>
      </c>
    </row>
    <row r="126" ht="17.25" hidden="1">
      <c r="A126" s="7" t="s">
        <v>546</v>
      </c>
    </row>
    <row r="127" ht="17.25" hidden="1">
      <c r="A127" s="12" t="s">
        <v>378</v>
      </c>
    </row>
    <row r="128" ht="17.25" hidden="1">
      <c r="A128" s="7" t="s">
        <v>544</v>
      </c>
    </row>
    <row r="129" ht="17.25" hidden="1">
      <c r="A129" s="7" t="s">
        <v>547</v>
      </c>
    </row>
    <row r="130" ht="17.25" hidden="1">
      <c r="A130" s="12" t="s">
        <v>545</v>
      </c>
    </row>
    <row r="131" ht="17.25" hidden="1">
      <c r="A131" s="12" t="s">
        <v>575</v>
      </c>
    </row>
    <row r="132" ht="17.25" hidden="1">
      <c r="A132" s="12" t="s">
        <v>814</v>
      </c>
    </row>
    <row r="133" ht="17.25" hidden="1">
      <c r="A133" s="12" t="s">
        <v>159</v>
      </c>
    </row>
    <row r="134" ht="15.75" customHeight="1" hidden="1">
      <c r="A134" s="7" t="s">
        <v>548</v>
      </c>
    </row>
    <row r="135" ht="15.75" customHeight="1" hidden="1">
      <c r="A135" s="12" t="s">
        <v>938</v>
      </c>
    </row>
    <row r="136" ht="15.75" customHeight="1" hidden="1">
      <c r="A136" s="12" t="s">
        <v>937</v>
      </c>
    </row>
    <row r="137" ht="15.75" customHeight="1" hidden="1">
      <c r="A137" s="12" t="s">
        <v>936</v>
      </c>
    </row>
    <row r="138" ht="15.75" customHeight="1" hidden="1">
      <c r="A138" s="7" t="s">
        <v>549</v>
      </c>
    </row>
    <row r="139" ht="15.75" customHeight="1" hidden="1">
      <c r="A139" s="7" t="s">
        <v>815</v>
      </c>
    </row>
    <row r="140" ht="15.75" customHeight="1" hidden="1">
      <c r="A140" s="12" t="s">
        <v>651</v>
      </c>
    </row>
    <row r="141" ht="15.75" customHeight="1" hidden="1">
      <c r="A141" s="12" t="s">
        <v>650</v>
      </c>
    </row>
    <row r="142" ht="15.75" customHeight="1" hidden="1">
      <c r="A142" s="12" t="s">
        <v>649</v>
      </c>
    </row>
    <row r="143" ht="15.75" customHeight="1" hidden="1">
      <c r="A143" s="12" t="s">
        <v>647</v>
      </c>
    </row>
    <row r="144" ht="17.25" hidden="1">
      <c r="A144" s="12" t="s">
        <v>648</v>
      </c>
    </row>
    <row r="145" ht="17.25" hidden="1">
      <c r="A145" s="7" t="s">
        <v>816</v>
      </c>
    </row>
    <row r="146" ht="17.25" hidden="1">
      <c r="A146" s="12" t="s">
        <v>652</v>
      </c>
    </row>
    <row r="147" ht="17.25" hidden="1">
      <c r="A147" s="12" t="s">
        <v>935</v>
      </c>
    </row>
    <row r="148" ht="17.25" hidden="1">
      <c r="A148" s="12" t="s">
        <v>934</v>
      </c>
    </row>
    <row r="149" ht="17.25" hidden="1">
      <c r="A149" s="12" t="s">
        <v>653</v>
      </c>
    </row>
    <row r="150" ht="17.25" hidden="1">
      <c r="A150" s="12" t="s">
        <v>654</v>
      </c>
    </row>
    <row r="151" ht="17.25" hidden="1">
      <c r="A151" s="12" t="s">
        <v>112</v>
      </c>
    </row>
    <row r="152" ht="17.25" hidden="1">
      <c r="A152" s="12" t="s">
        <v>141</v>
      </c>
    </row>
    <row r="153" ht="17.25" hidden="1">
      <c r="A153" s="12" t="s">
        <v>142</v>
      </c>
    </row>
    <row r="154" ht="17.25" hidden="1">
      <c r="A154" s="12" t="s">
        <v>143</v>
      </c>
    </row>
    <row r="155" ht="17.25" hidden="1">
      <c r="A155" s="7" t="s">
        <v>818</v>
      </c>
    </row>
    <row r="156" ht="17.25" hidden="1">
      <c r="A156" s="7" t="s">
        <v>550</v>
      </c>
    </row>
    <row r="157" ht="17.25" hidden="1">
      <c r="A157" s="7" t="s">
        <v>551</v>
      </c>
    </row>
    <row r="158" ht="17.25" hidden="1">
      <c r="A158" s="7" t="s">
        <v>554</v>
      </c>
    </row>
    <row r="159" ht="17.25" hidden="1">
      <c r="A159" s="7" t="s">
        <v>555</v>
      </c>
    </row>
    <row r="160" ht="17.25" hidden="1">
      <c r="A160" s="7"/>
    </row>
    <row r="161" ht="17.25" hidden="1">
      <c r="A161" s="7" t="s">
        <v>817</v>
      </c>
    </row>
    <row r="162" ht="17.25" hidden="1">
      <c r="A162" s="7" t="s">
        <v>556</v>
      </c>
    </row>
    <row r="163" ht="17.25" hidden="1">
      <c r="A163" s="12" t="s">
        <v>144</v>
      </c>
    </row>
    <row r="164" ht="17.25" hidden="1">
      <c r="A164" s="12" t="s">
        <v>145</v>
      </c>
    </row>
    <row r="165" ht="17.25" hidden="1">
      <c r="A165" s="12" t="s">
        <v>146</v>
      </c>
    </row>
    <row r="166" ht="17.25" hidden="1">
      <c r="A166" s="12" t="s">
        <v>147</v>
      </c>
    </row>
    <row r="167" ht="17.25" hidden="1">
      <c r="A167" s="12" t="s">
        <v>148</v>
      </c>
    </row>
    <row r="168" ht="17.25" hidden="1">
      <c r="A168" s="7" t="s">
        <v>557</v>
      </c>
    </row>
    <row r="169" ht="17.25" hidden="1">
      <c r="A169" s="12" t="s">
        <v>932</v>
      </c>
    </row>
    <row r="170" ht="17.25" hidden="1">
      <c r="A170" s="12" t="s">
        <v>931</v>
      </c>
    </row>
    <row r="171" ht="17.25" hidden="1">
      <c r="A171" s="12" t="s">
        <v>149</v>
      </c>
    </row>
    <row r="172" ht="17.25" hidden="1">
      <c r="A172" s="12" t="s">
        <v>150</v>
      </c>
    </row>
    <row r="173" ht="17.25" hidden="1">
      <c r="A173" s="12" t="s">
        <v>151</v>
      </c>
    </row>
    <row r="174" ht="17.25" hidden="1">
      <c r="A174" s="12" t="s">
        <v>152</v>
      </c>
    </row>
    <row r="175" ht="17.25" hidden="1">
      <c r="A175" s="12" t="s">
        <v>155</v>
      </c>
    </row>
    <row r="176" ht="17.25" hidden="1">
      <c r="A176" s="7" t="s">
        <v>558</v>
      </c>
    </row>
    <row r="177" ht="17.25" hidden="1">
      <c r="A177" s="12" t="s">
        <v>933</v>
      </c>
    </row>
    <row r="178" ht="17.25" hidden="1">
      <c r="A178" s="12" t="s">
        <v>156</v>
      </c>
    </row>
    <row r="179" ht="17.25" hidden="1">
      <c r="A179" s="12" t="s">
        <v>157</v>
      </c>
    </row>
    <row r="180" ht="17.25" hidden="1">
      <c r="A180" s="12" t="s">
        <v>158</v>
      </c>
    </row>
    <row r="181" ht="17.25" hidden="1">
      <c r="A181" s="7" t="s">
        <v>559</v>
      </c>
    </row>
    <row r="182" ht="17.25" hidden="1">
      <c r="A182" s="7" t="s">
        <v>819</v>
      </c>
    </row>
    <row r="183" ht="17.25" hidden="1">
      <c r="A183" s="12" t="s">
        <v>702</v>
      </c>
    </row>
    <row r="184" ht="17.25" hidden="1">
      <c r="A184" s="12" t="s">
        <v>820</v>
      </c>
    </row>
    <row r="185" ht="17.25" hidden="1">
      <c r="A185" s="12" t="s">
        <v>821</v>
      </c>
    </row>
    <row r="186" ht="17.25" hidden="1">
      <c r="A186" s="12" t="s">
        <v>822</v>
      </c>
    </row>
    <row r="187" ht="17.25" hidden="1">
      <c r="A187" s="12" t="s">
        <v>823</v>
      </c>
    </row>
    <row r="188" ht="17.25" hidden="1">
      <c r="A188" s="12" t="s">
        <v>1070</v>
      </c>
    </row>
    <row r="189" ht="17.25" hidden="1">
      <c r="A189" s="7" t="s">
        <v>1072</v>
      </c>
    </row>
    <row r="190" ht="17.25" hidden="1">
      <c r="A190" s="12" t="s">
        <v>824</v>
      </c>
    </row>
    <row r="191" ht="17.25" hidden="1">
      <c r="A191" s="12" t="s">
        <v>825</v>
      </c>
    </row>
    <row r="192" ht="17.25" hidden="1">
      <c r="A192" s="12" t="s">
        <v>826</v>
      </c>
    </row>
    <row r="193" ht="17.25" customHeight="1" hidden="1">
      <c r="A193" s="7" t="s">
        <v>1073</v>
      </c>
    </row>
    <row r="194" ht="17.25" customHeight="1" hidden="1">
      <c r="A194" s="7" t="s">
        <v>1074</v>
      </c>
    </row>
    <row r="195" ht="17.25" hidden="1">
      <c r="A195" s="7"/>
    </row>
    <row r="196" ht="15.75">
      <c r="A196" s="6" t="s">
        <v>1075</v>
      </c>
    </row>
    <row r="197" spans="1:7" ht="19.5" customHeight="1">
      <c r="A197" s="170" t="s">
        <v>1076</v>
      </c>
      <c r="B197" s="171"/>
      <c r="C197" s="171"/>
      <c r="D197" s="171"/>
      <c r="E197" s="171"/>
      <c r="F197" s="221" t="s">
        <v>615</v>
      </c>
      <c r="G197" s="221" t="s">
        <v>278</v>
      </c>
    </row>
    <row r="198" spans="1:7" ht="19.5" customHeight="1">
      <c r="A198" s="20" t="s">
        <v>974</v>
      </c>
      <c r="B198" s="173"/>
      <c r="C198" s="173"/>
      <c r="D198" s="173"/>
      <c r="E198" s="173"/>
      <c r="F198" s="8">
        <f>'BIEU 02-Bang CDSPS '!L8</f>
        <v>744285272</v>
      </c>
      <c r="G198" s="174">
        <f>'BIEU 02-Bang CDSPS '!D8</f>
        <v>448328810</v>
      </c>
    </row>
    <row r="199" spans="1:7" ht="19.5" customHeight="1">
      <c r="A199" s="20" t="s">
        <v>975</v>
      </c>
      <c r="B199" s="173"/>
      <c r="C199" s="173"/>
      <c r="D199" s="173"/>
      <c r="E199" s="173"/>
      <c r="F199" s="8">
        <f>'BIEU 02-Bang CDSPS '!L13-F200+15000000000</f>
        <v>18972329644</v>
      </c>
      <c r="G199" s="174">
        <f>'BIEU 02-Bang CDSPS '!D13</f>
        <v>10035737649</v>
      </c>
    </row>
    <row r="200" spans="1:7" ht="19.5" customHeight="1">
      <c r="A200" s="20" t="s">
        <v>834</v>
      </c>
      <c r="B200" s="173"/>
      <c r="C200" s="173"/>
      <c r="D200" s="173"/>
      <c r="E200" s="173"/>
      <c r="F200" s="8">
        <f>'B 01-DN CD KETOAN '!D13</f>
        <v>263036704215</v>
      </c>
      <c r="G200" s="174">
        <f>'B 01-DN CD KETOAN '!E13</f>
        <v>234756259804</v>
      </c>
    </row>
    <row r="201" spans="1:8" ht="19.5" customHeight="1">
      <c r="A201" s="175" t="s">
        <v>907</v>
      </c>
      <c r="B201" s="173"/>
      <c r="C201" s="173"/>
      <c r="D201" s="173"/>
      <c r="E201" s="292">
        <f>F201-'B 01-DN CD KETOAN '!D11</f>
        <v>0</v>
      </c>
      <c r="F201" s="5">
        <f>SUM(F198:F200)</f>
        <v>282753319131</v>
      </c>
      <c r="G201" s="176">
        <f>SUM(G198:G200)</f>
        <v>245240326263</v>
      </c>
      <c r="H201" s="18"/>
    </row>
    <row r="202" spans="1:7" ht="19.5" customHeight="1">
      <c r="A202" s="20"/>
      <c r="B202" s="173"/>
      <c r="C202" s="173"/>
      <c r="D202" s="173"/>
      <c r="E202" s="173"/>
      <c r="F202" s="69"/>
      <c r="G202" s="174"/>
    </row>
    <row r="203" spans="1:7" ht="19.5" customHeight="1">
      <c r="A203" s="27" t="s">
        <v>1078</v>
      </c>
      <c r="B203" s="173"/>
      <c r="C203" s="173"/>
      <c r="D203" s="173"/>
      <c r="E203" s="173"/>
      <c r="F203" s="199" t="s">
        <v>615</v>
      </c>
      <c r="G203" s="199" t="s">
        <v>278</v>
      </c>
    </row>
    <row r="204" spans="1:7" ht="19.5" customHeight="1" hidden="1">
      <c r="A204" s="178" t="s">
        <v>1080</v>
      </c>
      <c r="B204" s="173"/>
      <c r="C204" s="173"/>
      <c r="D204" s="173"/>
      <c r="E204" s="173"/>
      <c r="F204" s="69"/>
      <c r="G204" s="174"/>
    </row>
    <row r="205" spans="1:7" ht="19.5" customHeight="1">
      <c r="A205" s="178" t="s">
        <v>905</v>
      </c>
      <c r="B205" s="173"/>
      <c r="C205" s="173"/>
      <c r="D205" s="173"/>
      <c r="E205" s="173"/>
      <c r="F205" s="8">
        <f>'BIEU 02-Bang CDSPS '!L47-15000000000</f>
        <v>20841598250</v>
      </c>
      <c r="G205" s="174">
        <f>'BIEU 02-Bang CDSPS '!D47-G200</f>
        <v>9296491150</v>
      </c>
    </row>
    <row r="206" spans="1:7" ht="19.5" customHeight="1">
      <c r="A206" s="178" t="s">
        <v>1081</v>
      </c>
      <c r="B206" s="173"/>
      <c r="C206" s="173"/>
      <c r="D206" s="173"/>
      <c r="E206" s="173"/>
      <c r="F206" s="8">
        <v>0</v>
      </c>
      <c r="G206" s="174">
        <v>0</v>
      </c>
    </row>
    <row r="207" spans="1:7" ht="19.5" customHeight="1">
      <c r="A207" s="175" t="s">
        <v>907</v>
      </c>
      <c r="B207" s="173"/>
      <c r="C207" s="173"/>
      <c r="D207" s="173"/>
      <c r="E207" s="292">
        <f>F207-'B 01-DN CD KETOAN '!D14</f>
        <v>0</v>
      </c>
      <c r="F207" s="5">
        <f>SUM(F204:F206)</f>
        <v>20841598250</v>
      </c>
      <c r="G207" s="176">
        <f>SUM(G204:G206)</f>
        <v>9296491150</v>
      </c>
    </row>
    <row r="208" spans="1:7" ht="19.5" customHeight="1">
      <c r="A208" s="20"/>
      <c r="B208" s="173"/>
      <c r="C208" s="173"/>
      <c r="D208" s="173"/>
      <c r="E208" s="173"/>
      <c r="F208" s="69"/>
      <c r="G208" s="174"/>
    </row>
    <row r="209" spans="1:7" ht="19.5" customHeight="1">
      <c r="A209" s="27" t="s">
        <v>1082</v>
      </c>
      <c r="B209" s="173"/>
      <c r="C209" s="173"/>
      <c r="D209" s="173"/>
      <c r="E209" s="173"/>
      <c r="F209" s="199" t="s">
        <v>615</v>
      </c>
      <c r="G209" s="199" t="s">
        <v>278</v>
      </c>
    </row>
    <row r="210" spans="1:7" ht="19.5" customHeight="1">
      <c r="A210" s="20" t="s">
        <v>190</v>
      </c>
      <c r="B210" s="173"/>
      <c r="C210" s="173"/>
      <c r="D210" s="173"/>
      <c r="E210" s="173"/>
      <c r="F210" s="8">
        <f>1338545929+19930900</f>
        <v>1358476829</v>
      </c>
      <c r="G210" s="69">
        <f>1433455982+4310959</f>
        <v>1437766941</v>
      </c>
    </row>
    <row r="211" spans="1:7" ht="19.5" customHeight="1">
      <c r="A211" s="20" t="s">
        <v>191</v>
      </c>
      <c r="B211" s="173"/>
      <c r="C211" s="173"/>
      <c r="D211" s="173"/>
      <c r="E211" s="173"/>
      <c r="F211" s="8">
        <v>0</v>
      </c>
      <c r="G211" s="174">
        <v>13976956</v>
      </c>
    </row>
    <row r="212" spans="1:7" ht="19.5" customHeight="1">
      <c r="A212" s="20" t="s">
        <v>192</v>
      </c>
      <c r="B212" s="173"/>
      <c r="C212" s="173"/>
      <c r="D212" s="173"/>
      <c r="E212" s="173"/>
      <c r="F212" s="8">
        <v>100000000</v>
      </c>
      <c r="G212" s="174">
        <v>100000000</v>
      </c>
    </row>
    <row r="213" spans="1:7" ht="19.5" customHeight="1">
      <c r="A213" s="20" t="s">
        <v>193</v>
      </c>
      <c r="B213" s="173"/>
      <c r="C213" s="173"/>
      <c r="D213" s="173"/>
      <c r="E213" s="173"/>
      <c r="F213" s="8">
        <v>0</v>
      </c>
      <c r="G213" s="174">
        <v>0</v>
      </c>
    </row>
    <row r="214" spans="1:7" ht="19.5" customHeight="1">
      <c r="A214" s="20" t="s">
        <v>194</v>
      </c>
      <c r="B214" s="173"/>
      <c r="C214" s="173"/>
      <c r="D214" s="173"/>
      <c r="E214" s="173"/>
      <c r="F214" s="8">
        <v>4560423490</v>
      </c>
      <c r="G214" s="174">
        <v>0</v>
      </c>
    </row>
    <row r="215" spans="1:7" ht="19.5" customHeight="1">
      <c r="A215" s="20" t="s">
        <v>287</v>
      </c>
      <c r="B215" s="173"/>
      <c r="C215" s="173"/>
      <c r="D215" s="173"/>
      <c r="E215" s="173"/>
      <c r="F215" s="8">
        <v>0</v>
      </c>
      <c r="G215" s="69">
        <v>0</v>
      </c>
    </row>
    <row r="216" spans="1:7" ht="19.5" customHeight="1">
      <c r="A216" s="20" t="s">
        <v>1083</v>
      </c>
      <c r="B216" s="173"/>
      <c r="C216" s="173"/>
      <c r="D216" s="173"/>
      <c r="E216" s="173"/>
      <c r="F216" s="8">
        <f>'B 01-DN CD KETOAN '!D22-F210-F211-F212-F213-F214-F215</f>
        <v>614560668</v>
      </c>
      <c r="G216" s="174">
        <f>'B 01-DN CD KETOAN '!E22-G210-G211-G212-G213-G214-G215</f>
        <v>1698884783</v>
      </c>
    </row>
    <row r="217" spans="1:7" ht="19.5" customHeight="1">
      <c r="A217" s="179" t="s">
        <v>907</v>
      </c>
      <c r="B217" s="180"/>
      <c r="C217" s="180"/>
      <c r="D217" s="180"/>
      <c r="E217" s="293">
        <f>F217-'B 01-DN CD KETOAN '!D22</f>
        <v>0</v>
      </c>
      <c r="F217" s="59">
        <f>SUM(F210:F216)</f>
        <v>6633460987</v>
      </c>
      <c r="G217" s="181">
        <f>SUM(G210:G216)</f>
        <v>3250628680</v>
      </c>
    </row>
    <row r="218" spans="1:7" ht="19.5" customHeight="1" hidden="1">
      <c r="A218" s="22"/>
      <c r="B218" s="24"/>
      <c r="C218" s="24"/>
      <c r="D218" s="24"/>
      <c r="E218" s="24"/>
      <c r="F218" s="24"/>
      <c r="G218" s="159"/>
    </row>
    <row r="219" spans="1:7" ht="19.5" customHeight="1">
      <c r="A219" s="22"/>
      <c r="B219" s="24"/>
      <c r="C219" s="24"/>
      <c r="D219" s="24"/>
      <c r="E219" s="24"/>
      <c r="F219" s="247"/>
      <c r="G219" s="248"/>
    </row>
    <row r="220" spans="1:7" ht="19.5" customHeight="1">
      <c r="A220" s="170" t="s">
        <v>1084</v>
      </c>
      <c r="B220" s="171"/>
      <c r="C220" s="171"/>
      <c r="D220" s="171"/>
      <c r="E220" s="171"/>
      <c r="F220" s="199" t="s">
        <v>615</v>
      </c>
      <c r="G220" s="246" t="s">
        <v>278</v>
      </c>
    </row>
    <row r="221" spans="1:7" ht="19.5" customHeight="1" hidden="1">
      <c r="A221" s="20" t="s">
        <v>1085</v>
      </c>
      <c r="B221" s="173"/>
      <c r="C221" s="173"/>
      <c r="D221" s="173"/>
      <c r="E221" s="173"/>
      <c r="F221" s="69">
        <f>'BIEU 02-Bang CDSPS '!L77</f>
        <v>0</v>
      </c>
      <c r="G221" s="174">
        <f>'BIEU 02-Bang CDSPS '!D77</f>
        <v>0</v>
      </c>
    </row>
    <row r="222" spans="1:7" ht="19.5" customHeight="1">
      <c r="A222" s="20" t="s">
        <v>976</v>
      </c>
      <c r="B222" s="173"/>
      <c r="C222" s="173"/>
      <c r="D222" s="173"/>
      <c r="E222" s="173"/>
      <c r="F222" s="8">
        <f>'BIEU 02-Bang CDSPS '!L79</f>
        <v>21859312827</v>
      </c>
      <c r="G222" s="174">
        <f>'BIEU 02-Bang CDSPS '!D79</f>
        <v>10362289590</v>
      </c>
    </row>
    <row r="223" spans="1:7" ht="15">
      <c r="A223" s="20" t="s">
        <v>977</v>
      </c>
      <c r="B223" s="173"/>
      <c r="C223" s="173"/>
      <c r="D223" s="173"/>
      <c r="E223" s="173"/>
      <c r="F223" s="8">
        <f>'BIEU 02-Bang CDSPS '!L85</f>
        <v>3952196806</v>
      </c>
      <c r="G223" s="174">
        <f>'BIEU 02-Bang CDSPS '!D85</f>
        <v>1687526543</v>
      </c>
    </row>
    <row r="224" spans="1:7" ht="15">
      <c r="A224" s="20" t="s">
        <v>1086</v>
      </c>
      <c r="B224" s="173"/>
      <c r="C224" s="173"/>
      <c r="D224" s="173"/>
      <c r="E224" s="173"/>
      <c r="F224" s="8">
        <f>'BIEU 02-Bang CDSPS '!L88</f>
        <v>2235978721</v>
      </c>
      <c r="G224" s="174">
        <f>'BIEU 02-Bang CDSPS '!D88</f>
        <v>7170398810</v>
      </c>
    </row>
    <row r="225" spans="1:7" ht="15">
      <c r="A225" s="20" t="s">
        <v>979</v>
      </c>
      <c r="B225" s="173"/>
      <c r="C225" s="173"/>
      <c r="D225" s="173"/>
      <c r="E225" s="173"/>
      <c r="F225" s="8">
        <f>'BIEU 02-Bang CDSPS '!L99</f>
        <v>24335088679</v>
      </c>
      <c r="G225" s="174">
        <f>'BIEU 02-Bang CDSPS '!D99</f>
        <v>18834884509</v>
      </c>
    </row>
    <row r="226" spans="1:7" ht="15">
      <c r="A226" s="20" t="s">
        <v>980</v>
      </c>
      <c r="B226" s="173"/>
      <c r="C226" s="173"/>
      <c r="D226" s="173"/>
      <c r="E226" s="173"/>
      <c r="F226" s="8">
        <f>'BIEU 02-Bang CDSPS '!L106</f>
        <v>639088788</v>
      </c>
      <c r="G226" s="174">
        <f>'BIEU 02-Bang CDSPS '!D106</f>
        <v>808001389</v>
      </c>
    </row>
    <row r="227" spans="1:7" ht="17.25" hidden="1">
      <c r="A227" s="20" t="s">
        <v>1088</v>
      </c>
      <c r="B227" s="173"/>
      <c r="C227" s="173"/>
      <c r="D227" s="173"/>
      <c r="E227" s="173"/>
      <c r="F227" s="8"/>
      <c r="G227" s="174"/>
    </row>
    <row r="228" spans="1:7" ht="17.25" hidden="1">
      <c r="A228" s="20" t="s">
        <v>1089</v>
      </c>
      <c r="B228" s="173"/>
      <c r="C228" s="173"/>
      <c r="D228" s="173"/>
      <c r="E228" s="173"/>
      <c r="F228" s="8"/>
      <c r="G228" s="174"/>
    </row>
    <row r="229" spans="1:7" ht="17.25" hidden="1">
      <c r="A229" s="20" t="s">
        <v>1090</v>
      </c>
      <c r="B229" s="173"/>
      <c r="C229" s="173"/>
      <c r="D229" s="173"/>
      <c r="E229" s="173"/>
      <c r="F229" s="8">
        <f>'BIEU 02-Bang CDSPS '!L110</f>
        <v>0</v>
      </c>
      <c r="G229" s="174">
        <f>'BIEU 02-Bang CDSPS '!D110</f>
        <v>0</v>
      </c>
    </row>
    <row r="230" spans="1:7" ht="15.75">
      <c r="A230" s="175" t="s">
        <v>981</v>
      </c>
      <c r="B230" s="173"/>
      <c r="C230" s="173"/>
      <c r="D230" s="173"/>
      <c r="E230" s="292">
        <f>F230-'B 01-DN CD KETOAN '!D25</f>
        <v>0</v>
      </c>
      <c r="F230" s="5">
        <f>SUM(F221:F229)</f>
        <v>53021665821</v>
      </c>
      <c r="G230" s="176">
        <f>SUM(G221:G229)</f>
        <v>38863100841</v>
      </c>
    </row>
    <row r="231" spans="1:7" ht="17.25" hidden="1">
      <c r="A231" s="178" t="s">
        <v>1100</v>
      </c>
      <c r="B231" s="173"/>
      <c r="C231" s="173"/>
      <c r="D231" s="173"/>
      <c r="E231" s="173"/>
      <c r="F231" s="8"/>
      <c r="G231" s="174"/>
    </row>
    <row r="232" spans="1:7" ht="17.25" hidden="1">
      <c r="A232" s="178" t="s">
        <v>1101</v>
      </c>
      <c r="B232" s="173"/>
      <c r="C232" s="173"/>
      <c r="D232" s="173"/>
      <c r="E232" s="173"/>
      <c r="F232" s="8"/>
      <c r="G232" s="174"/>
    </row>
    <row r="233" spans="1:7" ht="17.25" hidden="1">
      <c r="A233" s="178" t="s">
        <v>1102</v>
      </c>
      <c r="B233" s="173"/>
      <c r="C233" s="173"/>
      <c r="D233" s="173"/>
      <c r="E233" s="173"/>
      <c r="F233" s="8"/>
      <c r="G233" s="174"/>
    </row>
    <row r="234" spans="1:7" ht="17.25" hidden="1">
      <c r="A234" s="20"/>
      <c r="B234" s="173"/>
      <c r="C234" s="173"/>
      <c r="D234" s="173"/>
      <c r="E234" s="173"/>
      <c r="F234" s="8"/>
      <c r="G234" s="174"/>
    </row>
    <row r="235" spans="1:7" ht="15">
      <c r="A235" s="20"/>
      <c r="B235" s="173"/>
      <c r="C235" s="173"/>
      <c r="D235" s="173"/>
      <c r="E235" s="173"/>
      <c r="F235" s="8"/>
      <c r="G235" s="174"/>
    </row>
    <row r="236" spans="1:7" ht="15.75">
      <c r="A236" s="27" t="s">
        <v>1093</v>
      </c>
      <c r="B236" s="173"/>
      <c r="C236" s="173"/>
      <c r="D236" s="173"/>
      <c r="E236" s="173"/>
      <c r="F236" s="199" t="s">
        <v>615</v>
      </c>
      <c r="G236" s="199" t="s">
        <v>278</v>
      </c>
    </row>
    <row r="237" spans="1:7" s="84" customFormat="1" ht="17.25" hidden="1">
      <c r="A237" s="20" t="s">
        <v>288</v>
      </c>
      <c r="B237" s="185"/>
      <c r="C237" s="185"/>
      <c r="D237" s="185"/>
      <c r="E237" s="185"/>
      <c r="F237" s="69">
        <f>'BIEU 02-Bang CDSPS '!L162</f>
        <v>0</v>
      </c>
      <c r="G237" s="174">
        <f>'BIEU 02-Bang CDSPS '!D162</f>
        <v>0</v>
      </c>
    </row>
    <row r="238" spans="1:7" s="84" customFormat="1" ht="17.25" hidden="1">
      <c r="A238" s="20" t="s">
        <v>289</v>
      </c>
      <c r="B238" s="185"/>
      <c r="C238" s="185"/>
      <c r="D238" s="185"/>
      <c r="E238" s="185"/>
      <c r="F238" s="69">
        <f>'BIEU 02-Bang CDSPS '!L163</f>
        <v>0</v>
      </c>
      <c r="G238" s="174">
        <f>'BIEU 02-Bang CDSPS '!D163</f>
        <v>0</v>
      </c>
    </row>
    <row r="239" spans="1:7" s="84" customFormat="1" ht="17.25" hidden="1">
      <c r="A239" s="20" t="s">
        <v>290</v>
      </c>
      <c r="B239" s="185"/>
      <c r="C239" s="185"/>
      <c r="D239" s="185"/>
      <c r="E239" s="185"/>
      <c r="F239" s="69">
        <f>'BIEU 02-Bang CDSPS '!L164</f>
        <v>0</v>
      </c>
      <c r="G239" s="174">
        <f>'BIEU 02-Bang CDSPS '!D164</f>
        <v>0</v>
      </c>
    </row>
    <row r="240" spans="1:7" s="84" customFormat="1" ht="15">
      <c r="A240" s="20" t="s">
        <v>994</v>
      </c>
      <c r="B240" s="185"/>
      <c r="C240" s="185"/>
      <c r="D240" s="185"/>
      <c r="E240" s="185"/>
      <c r="F240" s="8">
        <f>'BIEU 02-Bang CDSPS '!L165</f>
        <v>0</v>
      </c>
      <c r="G240" s="174">
        <f>'BIEU 02-Bang CDSPS '!D165</f>
        <v>0</v>
      </c>
    </row>
    <row r="241" spans="1:7" s="84" customFormat="1" ht="17.25" hidden="1">
      <c r="A241" s="20" t="s">
        <v>291</v>
      </c>
      <c r="B241" s="185"/>
      <c r="C241" s="185"/>
      <c r="D241" s="185"/>
      <c r="E241" s="185"/>
      <c r="F241" s="8">
        <f>'BIEU 02-Bang CDSPS '!L166</f>
        <v>0</v>
      </c>
      <c r="G241" s="174">
        <f>'BIEU 02-Bang CDSPS '!D166</f>
        <v>0</v>
      </c>
    </row>
    <row r="242" spans="1:7" s="84" customFormat="1" ht="17.25" hidden="1">
      <c r="A242" s="20" t="s">
        <v>292</v>
      </c>
      <c r="B242" s="185"/>
      <c r="C242" s="185"/>
      <c r="D242" s="185"/>
      <c r="E242" s="185"/>
      <c r="F242" s="8">
        <f>'BIEU 02-Bang CDSPS '!L167</f>
        <v>0</v>
      </c>
      <c r="G242" s="174">
        <f>'BIEU 02-Bang CDSPS '!D167</f>
        <v>0</v>
      </c>
    </row>
    <row r="243" spans="1:7" s="84" customFormat="1" ht="15">
      <c r="A243" s="20" t="s">
        <v>293</v>
      </c>
      <c r="B243" s="185"/>
      <c r="C243" s="185"/>
      <c r="D243" s="185"/>
      <c r="E243" s="185"/>
      <c r="F243" s="8">
        <f>'BIEU 02-Bang CDSPS '!L168</f>
        <v>0</v>
      </c>
      <c r="G243" s="174">
        <f>'BIEU 02-Bang CDSPS '!D168</f>
        <v>0</v>
      </c>
    </row>
    <row r="244" spans="1:7" s="84" customFormat="1" ht="17.25" hidden="1">
      <c r="A244" s="20" t="s">
        <v>1092</v>
      </c>
      <c r="B244" s="185"/>
      <c r="C244" s="185"/>
      <c r="D244" s="185"/>
      <c r="E244" s="185"/>
      <c r="F244" s="9"/>
      <c r="G244" s="187"/>
    </row>
    <row r="245" spans="1:7" ht="15.75">
      <c r="A245" s="175" t="s">
        <v>907</v>
      </c>
      <c r="B245" s="173"/>
      <c r="C245" s="173"/>
      <c r="D245" s="173"/>
      <c r="E245" s="173"/>
      <c r="F245" s="5">
        <f>SUM(F237:F244)</f>
        <v>0</v>
      </c>
      <c r="G245" s="176">
        <f>SUM(G237:G244)</f>
        <v>0</v>
      </c>
    </row>
    <row r="246" spans="1:7" ht="17.25" hidden="1">
      <c r="A246" s="20"/>
      <c r="B246" s="173"/>
      <c r="C246" s="173"/>
      <c r="D246" s="173"/>
      <c r="E246" s="173"/>
      <c r="F246" s="8"/>
      <c r="G246" s="174"/>
    </row>
    <row r="247" spans="1:7" ht="15.75">
      <c r="A247" s="188" t="s">
        <v>829</v>
      </c>
      <c r="B247" s="173"/>
      <c r="C247" s="173"/>
      <c r="D247" s="173"/>
      <c r="E247" s="173"/>
      <c r="F247" s="199" t="s">
        <v>615</v>
      </c>
      <c r="G247" s="199" t="s">
        <v>278</v>
      </c>
    </row>
    <row r="248" spans="1:7" ht="15">
      <c r="A248" s="178" t="s">
        <v>830</v>
      </c>
      <c r="B248" s="173"/>
      <c r="C248" s="173"/>
      <c r="D248" s="173"/>
      <c r="E248" s="173"/>
      <c r="F248" s="8">
        <f>'BIEU 02-Bang CDSPS '!L75</f>
        <v>0</v>
      </c>
      <c r="G248" s="174">
        <f>'BIEU 02-Bang CDSPS '!D75</f>
        <v>0</v>
      </c>
    </row>
    <row r="249" spans="1:7" ht="15">
      <c r="A249" s="178" t="s">
        <v>832</v>
      </c>
      <c r="B249" s="173"/>
      <c r="C249" s="173"/>
      <c r="D249" s="173"/>
      <c r="E249" s="173"/>
      <c r="F249" s="8">
        <f>'BIEU 02-Bang CDSPS '!L71</f>
        <v>1619303492</v>
      </c>
      <c r="G249" s="174">
        <f>'BIEU 02-Bang CDSPS '!D71</f>
        <v>963935680</v>
      </c>
    </row>
    <row r="250" spans="1:7" ht="17.25" hidden="1">
      <c r="A250" s="178" t="s">
        <v>831</v>
      </c>
      <c r="B250" s="173"/>
      <c r="C250" s="173"/>
      <c r="D250" s="173"/>
      <c r="E250" s="173"/>
      <c r="F250" s="8">
        <f>'BIEU 02-Bang CDSPS '!L65</f>
        <v>0</v>
      </c>
      <c r="G250" s="174">
        <f>'BIEU 02-Bang CDSPS '!D65</f>
        <v>0</v>
      </c>
    </row>
    <row r="251" spans="1:7" ht="15.75">
      <c r="A251" s="175" t="s">
        <v>907</v>
      </c>
      <c r="B251" s="173"/>
      <c r="C251" s="173"/>
      <c r="D251" s="173"/>
      <c r="E251" s="292">
        <f>F251-'B 01-DN CD KETOAN '!D31</f>
        <v>0</v>
      </c>
      <c r="F251" s="5">
        <f>SUM(F248:F250)</f>
        <v>1619303492</v>
      </c>
      <c r="G251" s="176">
        <f>SUM(G248:G250)</f>
        <v>963935680</v>
      </c>
    </row>
    <row r="252" spans="1:7" ht="15.75">
      <c r="A252" s="188" t="s">
        <v>1094</v>
      </c>
      <c r="B252" s="173"/>
      <c r="C252" s="173"/>
      <c r="D252" s="173"/>
      <c r="E252" s="173"/>
      <c r="F252" s="199" t="s">
        <v>615</v>
      </c>
      <c r="G252" s="199" t="s">
        <v>278</v>
      </c>
    </row>
    <row r="253" spans="1:7" ht="17.25" hidden="1">
      <c r="A253" s="178" t="s">
        <v>1095</v>
      </c>
      <c r="B253" s="173"/>
      <c r="C253" s="173"/>
      <c r="D253" s="173"/>
      <c r="E253" s="173"/>
      <c r="F253" s="8">
        <v>0</v>
      </c>
      <c r="G253" s="174">
        <v>0</v>
      </c>
    </row>
    <row r="254" spans="1:7" ht="18" hidden="1">
      <c r="A254" s="189" t="s">
        <v>1096</v>
      </c>
      <c r="B254" s="173"/>
      <c r="C254" s="173"/>
      <c r="D254" s="173"/>
      <c r="E254" s="173"/>
      <c r="F254" s="8"/>
      <c r="G254" s="174"/>
    </row>
    <row r="255" spans="1:7" ht="17.25" hidden="1">
      <c r="A255" s="178" t="s">
        <v>1097</v>
      </c>
      <c r="B255" s="173"/>
      <c r="C255" s="173"/>
      <c r="D255" s="173"/>
      <c r="E255" s="173"/>
      <c r="F255" s="8"/>
      <c r="G255" s="174"/>
    </row>
    <row r="256" spans="1:7" ht="17.25" hidden="1">
      <c r="A256" s="178" t="s">
        <v>998</v>
      </c>
      <c r="B256" s="173"/>
      <c r="C256" s="173"/>
      <c r="D256" s="173"/>
      <c r="E256" s="173"/>
      <c r="F256" s="8"/>
      <c r="G256" s="174"/>
    </row>
    <row r="257" spans="1:7" ht="15.75">
      <c r="A257" s="179" t="s">
        <v>907</v>
      </c>
      <c r="B257" s="180"/>
      <c r="C257" s="180"/>
      <c r="D257" s="180"/>
      <c r="E257" s="180"/>
      <c r="F257" s="59">
        <f>SUM(F253:F256)</f>
        <v>0</v>
      </c>
      <c r="G257" s="181">
        <f>SUM(G253:G256)</f>
        <v>0</v>
      </c>
    </row>
    <row r="258" spans="1:7" ht="18" hidden="1">
      <c r="A258" s="64"/>
      <c r="F258" s="80"/>
      <c r="G258" s="80"/>
    </row>
    <row r="259" ht="15.75">
      <c r="A259" s="6" t="s">
        <v>1098</v>
      </c>
    </row>
    <row r="260" spans="1:7" ht="15">
      <c r="A260" s="404" t="s">
        <v>899</v>
      </c>
      <c r="B260" s="151" t="s">
        <v>895</v>
      </c>
      <c r="C260" s="151" t="s">
        <v>42</v>
      </c>
      <c r="D260" s="151" t="s">
        <v>46</v>
      </c>
      <c r="E260" s="151" t="s">
        <v>897</v>
      </c>
      <c r="F260" s="151" t="s">
        <v>1012</v>
      </c>
      <c r="G260" s="404" t="s">
        <v>636</v>
      </c>
    </row>
    <row r="261" spans="1:7" ht="15">
      <c r="A261" s="406"/>
      <c r="B261" s="152" t="s">
        <v>1149</v>
      </c>
      <c r="C261" s="152" t="s">
        <v>43</v>
      </c>
      <c r="D261" s="152" t="s">
        <v>45</v>
      </c>
      <c r="E261" s="152" t="s">
        <v>896</v>
      </c>
      <c r="F261" s="152" t="s">
        <v>286</v>
      </c>
      <c r="G261" s="406"/>
    </row>
    <row r="262" spans="1:7" ht="15.75">
      <c r="A262" s="3" t="s">
        <v>120</v>
      </c>
      <c r="B262" s="23"/>
      <c r="C262" s="23"/>
      <c r="D262" s="23"/>
      <c r="E262" s="23"/>
      <c r="F262" s="23"/>
      <c r="G262" s="23"/>
    </row>
    <row r="263" spans="1:7" ht="15.75">
      <c r="A263" s="15" t="s">
        <v>886</v>
      </c>
      <c r="B263" s="5">
        <v>59186306431</v>
      </c>
      <c r="C263" s="5">
        <v>50341279593</v>
      </c>
      <c r="D263" s="5">
        <v>24230906141</v>
      </c>
      <c r="E263" s="5">
        <v>4134476287</v>
      </c>
      <c r="F263" s="5">
        <v>296518310769</v>
      </c>
      <c r="G263" s="5">
        <f aca="true" t="shared" si="0" ref="G263:G269">SUM(B263:F263)</f>
        <v>434411279221</v>
      </c>
    </row>
    <row r="264" spans="1:7" ht="15">
      <c r="A264" s="15" t="s">
        <v>887</v>
      </c>
      <c r="B264" s="8">
        <v>2074174557</v>
      </c>
      <c r="C264" s="8">
        <v>1506786978</v>
      </c>
      <c r="D264" s="8">
        <v>1235924282</v>
      </c>
      <c r="E264" s="8">
        <v>207232000</v>
      </c>
      <c r="F264" s="8">
        <v>0</v>
      </c>
      <c r="G264" s="8">
        <f t="shared" si="0"/>
        <v>5024117817</v>
      </c>
    </row>
    <row r="265" spans="1:7" ht="15">
      <c r="A265" s="15" t="s">
        <v>888</v>
      </c>
      <c r="B265" s="8">
        <v>0</v>
      </c>
      <c r="C265" s="8">
        <v>0</v>
      </c>
      <c r="D265" s="8">
        <v>0</v>
      </c>
      <c r="E265" s="8">
        <v>0</v>
      </c>
      <c r="F265" s="8">
        <v>4510994479</v>
      </c>
      <c r="G265" s="8">
        <f t="shared" si="0"/>
        <v>4510994479</v>
      </c>
    </row>
    <row r="266" spans="1:7" ht="17.25" hidden="1">
      <c r="A266" s="15" t="s">
        <v>1150</v>
      </c>
      <c r="B266" s="8"/>
      <c r="C266" s="8"/>
      <c r="D266" s="8"/>
      <c r="E266" s="8"/>
      <c r="F266" s="8"/>
      <c r="G266" s="8">
        <f t="shared" si="0"/>
        <v>0</v>
      </c>
    </row>
    <row r="267" spans="1:7" ht="17.25" hidden="1">
      <c r="A267" s="15" t="s">
        <v>669</v>
      </c>
      <c r="B267" s="8"/>
      <c r="C267" s="8"/>
      <c r="D267" s="8"/>
      <c r="E267" s="8"/>
      <c r="F267" s="8"/>
      <c r="G267" s="8">
        <f t="shared" si="0"/>
        <v>0</v>
      </c>
    </row>
    <row r="268" spans="1:7" ht="15">
      <c r="A268" s="15" t="s">
        <v>670</v>
      </c>
      <c r="B268" s="8">
        <v>0</v>
      </c>
      <c r="C268" s="8">
        <v>249658000</v>
      </c>
      <c r="D268" s="8">
        <v>1314360105</v>
      </c>
      <c r="E268" s="8">
        <v>0</v>
      </c>
      <c r="F268" s="8">
        <v>17834586147</v>
      </c>
      <c r="G268" s="8">
        <f t="shared" si="0"/>
        <v>19398604252</v>
      </c>
    </row>
    <row r="269" spans="1:7" ht="17.25" hidden="1">
      <c r="A269" s="15" t="s">
        <v>671</v>
      </c>
      <c r="B269" s="8">
        <v>0</v>
      </c>
      <c r="C269" s="8">
        <v>0</v>
      </c>
      <c r="D269" s="8">
        <v>0</v>
      </c>
      <c r="E269" s="8">
        <v>0</v>
      </c>
      <c r="F269" s="8">
        <v>0</v>
      </c>
      <c r="G269" s="8">
        <f t="shared" si="0"/>
        <v>0</v>
      </c>
    </row>
    <row r="270" spans="1:7" ht="15.75">
      <c r="A270" s="15" t="s">
        <v>672</v>
      </c>
      <c r="B270" s="5">
        <f aca="true" t="shared" si="1" ref="B270:G270">B263+B264+B265+B266-B267-B268-B269</f>
        <v>61260480988</v>
      </c>
      <c r="C270" s="5">
        <f t="shared" si="1"/>
        <v>51598408571</v>
      </c>
      <c r="D270" s="5">
        <f t="shared" si="1"/>
        <v>24152470318</v>
      </c>
      <c r="E270" s="5">
        <f t="shared" si="1"/>
        <v>4341708287</v>
      </c>
      <c r="F270" s="5">
        <f t="shared" si="1"/>
        <v>283194719101</v>
      </c>
      <c r="G270" s="5">
        <f t="shared" si="1"/>
        <v>424547787265</v>
      </c>
    </row>
    <row r="271" spans="1:7" ht="15.75">
      <c r="A271" s="2" t="s">
        <v>121</v>
      </c>
      <c r="B271" s="8"/>
      <c r="C271" s="8"/>
      <c r="D271" s="8"/>
      <c r="E271" s="8"/>
      <c r="F271" s="8"/>
      <c r="G271" s="8"/>
    </row>
    <row r="272" spans="1:7" ht="15.75">
      <c r="A272" s="15" t="s">
        <v>886</v>
      </c>
      <c r="B272" s="5">
        <v>26104780656</v>
      </c>
      <c r="C272" s="5">
        <v>23052112128</v>
      </c>
      <c r="D272" s="5">
        <v>12981677148</v>
      </c>
      <c r="E272" s="5">
        <v>2528104093</v>
      </c>
      <c r="F272" s="5">
        <v>109924114519</v>
      </c>
      <c r="G272" s="5">
        <f aca="true" t="shared" si="2" ref="G272:G277">SUM(B272:F272)</f>
        <v>174590788544</v>
      </c>
    </row>
    <row r="273" spans="1:7" ht="15">
      <c r="A273" s="15" t="s">
        <v>673</v>
      </c>
      <c r="B273" s="8">
        <v>2670605700</v>
      </c>
      <c r="C273" s="8">
        <v>2927293869</v>
      </c>
      <c r="D273" s="8">
        <v>2058452270</v>
      </c>
      <c r="E273" s="8">
        <v>257973128</v>
      </c>
      <c r="F273" s="8">
        <v>7850780892</v>
      </c>
      <c r="G273" s="8">
        <f t="shared" si="2"/>
        <v>15765105859</v>
      </c>
    </row>
    <row r="274" spans="1:7" ht="17.25" hidden="1">
      <c r="A274" s="15" t="s">
        <v>1150</v>
      </c>
      <c r="B274" s="8"/>
      <c r="C274" s="8"/>
      <c r="D274" s="8"/>
      <c r="E274" s="8">
        <v>360215290</v>
      </c>
      <c r="F274" s="8"/>
      <c r="G274" s="8">
        <f t="shared" si="2"/>
        <v>360215290</v>
      </c>
    </row>
    <row r="275" spans="1:7" ht="17.25" hidden="1">
      <c r="A275" s="15" t="s">
        <v>669</v>
      </c>
      <c r="B275" s="8"/>
      <c r="C275" s="8"/>
      <c r="D275" s="8"/>
      <c r="E275" s="8">
        <v>360215290</v>
      </c>
      <c r="F275" s="8"/>
      <c r="G275" s="8">
        <f t="shared" si="2"/>
        <v>360215290</v>
      </c>
    </row>
    <row r="276" spans="1:7" ht="15">
      <c r="A276" s="15" t="s">
        <v>670</v>
      </c>
      <c r="B276" s="8">
        <v>0</v>
      </c>
      <c r="C276" s="8">
        <v>249658000</v>
      </c>
      <c r="D276" s="8">
        <v>1266103727</v>
      </c>
      <c r="E276" s="8">
        <v>0</v>
      </c>
      <c r="F276" s="8">
        <v>8341612419</v>
      </c>
      <c r="G276" s="8">
        <f t="shared" si="2"/>
        <v>9857374146</v>
      </c>
    </row>
    <row r="277" spans="1:7" ht="17.25" hidden="1">
      <c r="A277" s="15" t="s">
        <v>671</v>
      </c>
      <c r="B277" s="8">
        <v>0</v>
      </c>
      <c r="C277" s="8">
        <v>0</v>
      </c>
      <c r="D277" s="8">
        <v>0</v>
      </c>
      <c r="E277" s="8">
        <v>0</v>
      </c>
      <c r="F277" s="8">
        <v>0</v>
      </c>
      <c r="G277" s="8">
        <f t="shared" si="2"/>
        <v>0</v>
      </c>
    </row>
    <row r="278" spans="1:7" ht="15.75">
      <c r="A278" s="15" t="s">
        <v>672</v>
      </c>
      <c r="B278" s="5">
        <f aca="true" t="shared" si="3" ref="B278:G278">B272+B273+B274-B275-B276-B277</f>
        <v>28775386356</v>
      </c>
      <c r="C278" s="5">
        <f t="shared" si="3"/>
        <v>25729747997</v>
      </c>
      <c r="D278" s="5">
        <f t="shared" si="3"/>
        <v>13774025691</v>
      </c>
      <c r="E278" s="5">
        <f t="shared" si="3"/>
        <v>2786077221</v>
      </c>
      <c r="F278" s="5">
        <f t="shared" si="3"/>
        <v>109433282992</v>
      </c>
      <c r="G278" s="5">
        <f t="shared" si="3"/>
        <v>180498520257</v>
      </c>
    </row>
    <row r="279" spans="1:7" ht="15.75">
      <c r="A279" s="2" t="s">
        <v>122</v>
      </c>
      <c r="B279" s="8"/>
      <c r="C279" s="8"/>
      <c r="D279" s="8"/>
      <c r="E279" s="8"/>
      <c r="F279" s="8"/>
      <c r="G279" s="8"/>
    </row>
    <row r="280" spans="1:7" ht="15.75">
      <c r="A280" s="15" t="s">
        <v>674</v>
      </c>
      <c r="B280" s="5">
        <f>B263-B272</f>
        <v>33081525775</v>
      </c>
      <c r="C280" s="5">
        <f>C263-C272</f>
        <v>27289167465</v>
      </c>
      <c r="D280" s="5">
        <f>D263-D272</f>
        <v>11249228993</v>
      </c>
      <c r="E280" s="5">
        <f>E263-E272</f>
        <v>1606372194</v>
      </c>
      <c r="F280" s="5">
        <f>F263-F272</f>
        <v>186594196250</v>
      </c>
      <c r="G280" s="5">
        <f>SUM(B280:F280)</f>
        <v>259820490677</v>
      </c>
    </row>
    <row r="281" spans="1:7" ht="15.75">
      <c r="A281" s="15" t="s">
        <v>41</v>
      </c>
      <c r="B281" s="5">
        <f>B270-B278</f>
        <v>32485094632</v>
      </c>
      <c r="C281" s="5">
        <f>C270-C278</f>
        <v>25868660574</v>
      </c>
      <c r="D281" s="5">
        <f>D270-D278</f>
        <v>10378444627</v>
      </c>
      <c r="E281" s="5">
        <f>E270-E278</f>
        <v>1555631066</v>
      </c>
      <c r="F281" s="5">
        <f>F270-F278</f>
        <v>173761436109</v>
      </c>
      <c r="G281" s="5">
        <f>SUM(B281:F281)</f>
        <v>244049267008</v>
      </c>
    </row>
    <row r="282" spans="1:7" ht="15">
      <c r="A282" s="16"/>
      <c r="B282" s="165"/>
      <c r="C282" s="165"/>
      <c r="D282" s="165"/>
      <c r="E282" s="165"/>
      <c r="F282" s="165"/>
      <c r="G282" s="165"/>
    </row>
    <row r="283" ht="17.25" hidden="1">
      <c r="A283" s="12" t="s">
        <v>1112</v>
      </c>
    </row>
    <row r="284" ht="17.25" hidden="1">
      <c r="A284" s="12" t="s">
        <v>900</v>
      </c>
    </row>
    <row r="285" ht="17.25" hidden="1">
      <c r="A285" s="12" t="s">
        <v>901</v>
      </c>
    </row>
    <row r="286" ht="17.25" hidden="1">
      <c r="A286" s="12" t="s">
        <v>1113</v>
      </c>
    </row>
    <row r="287" ht="17.25" hidden="1">
      <c r="A287" s="12" t="s">
        <v>1114</v>
      </c>
    </row>
    <row r="288" ht="17.25" hidden="1"/>
    <row r="289" ht="18" hidden="1">
      <c r="A289" s="6" t="s">
        <v>294</v>
      </c>
    </row>
    <row r="290" spans="1:7" ht="17.25" hidden="1">
      <c r="A290" s="404" t="s">
        <v>899</v>
      </c>
      <c r="B290" s="404" t="s">
        <v>895</v>
      </c>
      <c r="C290" s="151" t="s">
        <v>42</v>
      </c>
      <c r="D290" s="151" t="s">
        <v>46</v>
      </c>
      <c r="E290" s="151" t="s">
        <v>897</v>
      </c>
      <c r="F290" s="404" t="s">
        <v>898</v>
      </c>
      <c r="G290" s="404" t="s">
        <v>636</v>
      </c>
    </row>
    <row r="291" spans="1:7" ht="17.25" hidden="1">
      <c r="A291" s="406"/>
      <c r="B291" s="406"/>
      <c r="C291" s="152" t="s">
        <v>43</v>
      </c>
      <c r="D291" s="152" t="s">
        <v>45</v>
      </c>
      <c r="E291" s="152" t="s">
        <v>896</v>
      </c>
      <c r="F291" s="406"/>
      <c r="G291" s="406"/>
    </row>
    <row r="292" spans="1:7" ht="18" hidden="1">
      <c r="A292" s="3" t="s">
        <v>1119</v>
      </c>
      <c r="B292" s="23"/>
      <c r="C292" s="23"/>
      <c r="D292" s="23"/>
      <c r="E292" s="23"/>
      <c r="F292" s="23"/>
      <c r="G292" s="23"/>
    </row>
    <row r="293" spans="1:7" ht="18" hidden="1">
      <c r="A293" s="15" t="s">
        <v>886</v>
      </c>
      <c r="B293" s="5"/>
      <c r="C293" s="5"/>
      <c r="D293" s="5"/>
      <c r="E293" s="5"/>
      <c r="F293" s="5"/>
      <c r="G293" s="5"/>
    </row>
    <row r="294" spans="1:7" ht="17.25" hidden="1">
      <c r="A294" s="15" t="s">
        <v>1120</v>
      </c>
      <c r="B294" s="8"/>
      <c r="C294" s="8"/>
      <c r="D294" s="8"/>
      <c r="E294" s="8"/>
      <c r="F294" s="8"/>
      <c r="G294" s="8"/>
    </row>
    <row r="295" spans="1:7" ht="17.25" hidden="1">
      <c r="A295" s="15" t="s">
        <v>1121</v>
      </c>
      <c r="B295" s="8"/>
      <c r="C295" s="8"/>
      <c r="D295" s="8"/>
      <c r="E295" s="8"/>
      <c r="F295" s="8"/>
      <c r="G295" s="8"/>
    </row>
    <row r="296" spans="1:7" ht="17.25" hidden="1">
      <c r="A296" s="15" t="s">
        <v>889</v>
      </c>
      <c r="B296" s="8"/>
      <c r="C296" s="8"/>
      <c r="D296" s="8"/>
      <c r="E296" s="8"/>
      <c r="F296" s="8"/>
      <c r="G296" s="8"/>
    </row>
    <row r="297" spans="1:7" ht="17.25" hidden="1">
      <c r="A297" s="15" t="s">
        <v>1122</v>
      </c>
      <c r="B297" s="8"/>
      <c r="C297" s="8"/>
      <c r="D297" s="8"/>
      <c r="E297" s="8"/>
      <c r="F297" s="8"/>
      <c r="G297" s="8"/>
    </row>
    <row r="298" spans="1:7" ht="17.25" hidden="1">
      <c r="A298" s="15" t="s">
        <v>671</v>
      </c>
      <c r="B298" s="8"/>
      <c r="C298" s="8"/>
      <c r="D298" s="8"/>
      <c r="E298" s="8"/>
      <c r="F298" s="8"/>
      <c r="G298" s="8"/>
    </row>
    <row r="299" spans="1:7" ht="18" hidden="1">
      <c r="A299" s="15" t="s">
        <v>672</v>
      </c>
      <c r="B299" s="5"/>
      <c r="C299" s="5"/>
      <c r="D299" s="5"/>
      <c r="E299" s="5"/>
      <c r="F299" s="5"/>
      <c r="G299" s="5"/>
    </row>
    <row r="300" spans="1:7" ht="18" hidden="1">
      <c r="A300" s="2" t="s">
        <v>121</v>
      </c>
      <c r="B300" s="8"/>
      <c r="C300" s="8"/>
      <c r="D300" s="8"/>
      <c r="E300" s="8"/>
      <c r="F300" s="8"/>
      <c r="G300" s="8"/>
    </row>
    <row r="301" spans="1:7" ht="18" hidden="1">
      <c r="A301" s="15" t="s">
        <v>886</v>
      </c>
      <c r="B301" s="5"/>
      <c r="C301" s="5"/>
      <c r="D301" s="5"/>
      <c r="E301" s="5"/>
      <c r="F301" s="5"/>
      <c r="G301" s="5"/>
    </row>
    <row r="302" spans="1:7" ht="17.25" hidden="1">
      <c r="A302" s="15" t="s">
        <v>673</v>
      </c>
      <c r="B302" s="8"/>
      <c r="C302" s="8"/>
      <c r="D302" s="8"/>
      <c r="E302" s="8"/>
      <c r="F302" s="8"/>
      <c r="G302" s="8"/>
    </row>
    <row r="303" spans="1:7" ht="17.25" hidden="1">
      <c r="A303" s="15" t="s">
        <v>1121</v>
      </c>
      <c r="B303" s="8"/>
      <c r="C303" s="8"/>
      <c r="D303" s="8"/>
      <c r="E303" s="8"/>
      <c r="F303" s="8"/>
      <c r="G303" s="8"/>
    </row>
    <row r="304" spans="1:7" ht="17.25" hidden="1">
      <c r="A304" s="15" t="s">
        <v>889</v>
      </c>
      <c r="B304" s="8"/>
      <c r="C304" s="8"/>
      <c r="D304" s="8"/>
      <c r="E304" s="8"/>
      <c r="F304" s="8"/>
      <c r="G304" s="8"/>
    </row>
    <row r="305" spans="1:7" ht="17.25" hidden="1">
      <c r="A305" s="15" t="s">
        <v>1122</v>
      </c>
      <c r="B305" s="8"/>
      <c r="C305" s="8"/>
      <c r="D305" s="8"/>
      <c r="E305" s="8"/>
      <c r="F305" s="8"/>
      <c r="G305" s="8"/>
    </row>
    <row r="306" spans="1:7" ht="17.25" hidden="1">
      <c r="A306" s="15" t="s">
        <v>671</v>
      </c>
      <c r="B306" s="8"/>
      <c r="C306" s="8"/>
      <c r="D306" s="8"/>
      <c r="E306" s="8"/>
      <c r="F306" s="8"/>
      <c r="G306" s="8"/>
    </row>
    <row r="307" spans="1:7" ht="18" hidden="1">
      <c r="A307" s="15" t="s">
        <v>672</v>
      </c>
      <c r="B307" s="5"/>
      <c r="C307" s="5"/>
      <c r="D307" s="5"/>
      <c r="E307" s="5"/>
      <c r="F307" s="5"/>
      <c r="G307" s="5"/>
    </row>
    <row r="308" spans="1:7" ht="18" hidden="1">
      <c r="A308" s="2" t="s">
        <v>1123</v>
      </c>
      <c r="B308" s="8"/>
      <c r="C308" s="8"/>
      <c r="D308" s="8"/>
      <c r="E308" s="8"/>
      <c r="F308" s="8"/>
      <c r="G308" s="8"/>
    </row>
    <row r="309" spans="1:7" ht="18" hidden="1">
      <c r="A309" s="15" t="s">
        <v>674</v>
      </c>
      <c r="B309" s="5"/>
      <c r="C309" s="5"/>
      <c r="D309" s="5"/>
      <c r="E309" s="5"/>
      <c r="F309" s="5"/>
      <c r="G309" s="5"/>
    </row>
    <row r="310" spans="1:7" ht="18" hidden="1">
      <c r="A310" s="15" t="s">
        <v>41</v>
      </c>
      <c r="B310" s="5"/>
      <c r="C310" s="5"/>
      <c r="D310" s="5"/>
      <c r="E310" s="5"/>
      <c r="F310" s="5"/>
      <c r="G310" s="5"/>
    </row>
    <row r="311" spans="1:7" ht="17.25" hidden="1">
      <c r="A311" s="16"/>
      <c r="B311" s="17"/>
      <c r="C311" s="17"/>
      <c r="D311" s="17"/>
      <c r="E311" s="17"/>
      <c r="F311" s="17"/>
      <c r="G311" s="17"/>
    </row>
    <row r="312" ht="18" hidden="1">
      <c r="A312" s="6" t="s">
        <v>1125</v>
      </c>
    </row>
    <row r="313" ht="18" hidden="1">
      <c r="A313" s="6" t="s">
        <v>1124</v>
      </c>
    </row>
    <row r="314" ht="18" hidden="1">
      <c r="A314" s="6" t="s">
        <v>1126</v>
      </c>
    </row>
    <row r="315" ht="18" hidden="1">
      <c r="A315" s="6"/>
    </row>
    <row r="316" spans="1:7" ht="18" hidden="1">
      <c r="A316" s="6" t="s">
        <v>295</v>
      </c>
      <c r="F316" s="247"/>
      <c r="G316" s="247"/>
    </row>
    <row r="317" spans="1:7" ht="17.25" hidden="1">
      <c r="A317" s="404" t="s">
        <v>899</v>
      </c>
      <c r="B317" s="151" t="s">
        <v>296</v>
      </c>
      <c r="C317" s="151" t="s">
        <v>298</v>
      </c>
      <c r="D317" s="151"/>
      <c r="E317" s="151"/>
      <c r="F317" s="404"/>
      <c r="G317" s="404" t="s">
        <v>636</v>
      </c>
    </row>
    <row r="318" spans="1:7" s="135" customFormat="1" ht="17.25" hidden="1">
      <c r="A318" s="406"/>
      <c r="B318" s="153" t="s">
        <v>297</v>
      </c>
      <c r="C318" s="154" t="s">
        <v>286</v>
      </c>
      <c r="D318" s="154"/>
      <c r="E318" s="154"/>
      <c r="F318" s="407"/>
      <c r="G318" s="407"/>
    </row>
    <row r="319" spans="1:7" ht="18" hidden="1">
      <c r="A319" s="3" t="s">
        <v>1127</v>
      </c>
      <c r="B319" s="23"/>
      <c r="C319" s="23"/>
      <c r="D319" s="23"/>
      <c r="E319" s="23"/>
      <c r="F319" s="23"/>
      <c r="G319" s="23"/>
    </row>
    <row r="320" spans="1:7" ht="18" hidden="1">
      <c r="A320" s="15" t="s">
        <v>886</v>
      </c>
      <c r="B320" s="5">
        <v>0</v>
      </c>
      <c r="C320" s="5">
        <v>0</v>
      </c>
      <c r="D320" s="5">
        <v>0</v>
      </c>
      <c r="E320" s="5">
        <v>0</v>
      </c>
      <c r="F320" s="5">
        <v>0</v>
      </c>
      <c r="G320" s="5">
        <f>SUM(B320:F320)</f>
        <v>0</v>
      </c>
    </row>
    <row r="321" spans="1:7" ht="17.25" hidden="1">
      <c r="A321" s="15" t="s">
        <v>887</v>
      </c>
      <c r="B321" s="8">
        <v>0</v>
      </c>
      <c r="C321" s="8">
        <v>0</v>
      </c>
      <c r="D321" s="8">
        <v>0</v>
      </c>
      <c r="E321" s="8">
        <v>0</v>
      </c>
      <c r="F321" s="8">
        <v>0</v>
      </c>
      <c r="G321" s="8">
        <f aca="true" t="shared" si="4" ref="G321:G326">SUM(B321:F321)</f>
        <v>0</v>
      </c>
    </row>
    <row r="322" spans="1:7" ht="17.25" hidden="1">
      <c r="A322" s="15" t="s">
        <v>35</v>
      </c>
      <c r="B322" s="8">
        <v>0</v>
      </c>
      <c r="C322" s="8">
        <v>0</v>
      </c>
      <c r="D322" s="8"/>
      <c r="E322" s="8">
        <v>0</v>
      </c>
      <c r="F322" s="8">
        <v>0</v>
      </c>
      <c r="G322" s="8">
        <f t="shared" si="4"/>
        <v>0</v>
      </c>
    </row>
    <row r="323" spans="1:7" ht="17.25" hidden="1">
      <c r="A323" s="15" t="s">
        <v>1128</v>
      </c>
      <c r="B323" s="8">
        <v>0</v>
      </c>
      <c r="C323" s="8">
        <v>0</v>
      </c>
      <c r="D323" s="8">
        <v>0</v>
      </c>
      <c r="E323" s="8">
        <v>0</v>
      </c>
      <c r="F323" s="8">
        <v>0</v>
      </c>
      <c r="G323" s="8">
        <f t="shared" si="4"/>
        <v>0</v>
      </c>
    </row>
    <row r="324" spans="1:7" ht="17.25" hidden="1">
      <c r="A324" s="15" t="s">
        <v>889</v>
      </c>
      <c r="B324" s="8">
        <v>0</v>
      </c>
      <c r="C324" s="8">
        <v>0</v>
      </c>
      <c r="D324" s="8">
        <v>0</v>
      </c>
      <c r="E324" s="8">
        <v>0</v>
      </c>
      <c r="F324" s="8">
        <v>0</v>
      </c>
      <c r="G324" s="8">
        <f t="shared" si="4"/>
        <v>0</v>
      </c>
    </row>
    <row r="325" spans="1:7" ht="17.25" hidden="1">
      <c r="A325" s="15" t="s">
        <v>670</v>
      </c>
      <c r="B325" s="8">
        <v>0</v>
      </c>
      <c r="C325" s="8">
        <v>0</v>
      </c>
      <c r="D325" s="8">
        <v>0</v>
      </c>
      <c r="E325" s="8">
        <v>0</v>
      </c>
      <c r="F325" s="8">
        <v>0</v>
      </c>
      <c r="G325" s="8">
        <f t="shared" si="4"/>
        <v>0</v>
      </c>
    </row>
    <row r="326" spans="1:7" ht="17.25" hidden="1">
      <c r="A326" s="15" t="s">
        <v>671</v>
      </c>
      <c r="B326" s="8">
        <v>0</v>
      </c>
      <c r="C326" s="8">
        <v>0</v>
      </c>
      <c r="D326" s="8">
        <v>0</v>
      </c>
      <c r="E326" s="8">
        <v>0</v>
      </c>
      <c r="F326" s="8">
        <v>0</v>
      </c>
      <c r="G326" s="8">
        <f t="shared" si="4"/>
        <v>0</v>
      </c>
    </row>
    <row r="327" spans="1:7" ht="18" hidden="1">
      <c r="A327" s="15" t="s">
        <v>672</v>
      </c>
      <c r="B327" s="5">
        <f aca="true" t="shared" si="5" ref="B327:G327">B320+B321+B322+B323+B324-B325-B326</f>
        <v>0</v>
      </c>
      <c r="C327" s="5">
        <f t="shared" si="5"/>
        <v>0</v>
      </c>
      <c r="D327" s="5">
        <f t="shared" si="5"/>
        <v>0</v>
      </c>
      <c r="E327" s="5">
        <f t="shared" si="5"/>
        <v>0</v>
      </c>
      <c r="F327" s="5">
        <f t="shared" si="5"/>
        <v>0</v>
      </c>
      <c r="G327" s="5">
        <f t="shared" si="5"/>
        <v>0</v>
      </c>
    </row>
    <row r="328" spans="1:7" ht="18" hidden="1">
      <c r="A328" s="2" t="s">
        <v>121</v>
      </c>
      <c r="B328" s="8"/>
      <c r="C328" s="8"/>
      <c r="D328" s="8"/>
      <c r="E328" s="8"/>
      <c r="F328" s="8"/>
      <c r="G328" s="8"/>
    </row>
    <row r="329" spans="1:7" ht="18" hidden="1">
      <c r="A329" s="15" t="s">
        <v>886</v>
      </c>
      <c r="B329" s="5">
        <v>0</v>
      </c>
      <c r="C329" s="5">
        <v>0</v>
      </c>
      <c r="D329" s="5">
        <v>0</v>
      </c>
      <c r="E329" s="5">
        <v>0</v>
      </c>
      <c r="F329" s="5">
        <v>0</v>
      </c>
      <c r="G329" s="5">
        <f>SUM(B329:F329)</f>
        <v>0</v>
      </c>
    </row>
    <row r="330" spans="1:7" ht="17.25" hidden="1">
      <c r="A330" s="15" t="s">
        <v>673</v>
      </c>
      <c r="B330" s="8">
        <v>0</v>
      </c>
      <c r="C330" s="8">
        <v>0</v>
      </c>
      <c r="D330" s="8">
        <v>0</v>
      </c>
      <c r="E330" s="8">
        <v>0</v>
      </c>
      <c r="F330" s="8">
        <v>0</v>
      </c>
      <c r="G330" s="8">
        <f>SUM(B330:F330)</f>
        <v>0</v>
      </c>
    </row>
    <row r="331" spans="1:7" ht="17.25" hidden="1">
      <c r="A331" s="15" t="s">
        <v>1121</v>
      </c>
      <c r="B331" s="8">
        <v>0</v>
      </c>
      <c r="C331" s="8">
        <v>0</v>
      </c>
      <c r="D331" s="8">
        <v>0</v>
      </c>
      <c r="E331" s="8">
        <v>0</v>
      </c>
      <c r="F331" s="8">
        <v>0</v>
      </c>
      <c r="G331" s="8">
        <f>SUM(B331:F331)</f>
        <v>0</v>
      </c>
    </row>
    <row r="332" spans="1:7" ht="17.25" hidden="1">
      <c r="A332" s="15" t="s">
        <v>889</v>
      </c>
      <c r="B332" s="8"/>
      <c r="C332" s="8"/>
      <c r="D332" s="8"/>
      <c r="E332" s="8"/>
      <c r="F332" s="8"/>
      <c r="G332" s="8"/>
    </row>
    <row r="333" spans="1:7" ht="17.25" hidden="1">
      <c r="A333" s="15" t="s">
        <v>1122</v>
      </c>
      <c r="B333" s="8">
        <v>0</v>
      </c>
      <c r="C333" s="8">
        <v>0</v>
      </c>
      <c r="D333" s="8">
        <v>0</v>
      </c>
      <c r="E333" s="8">
        <v>0</v>
      </c>
      <c r="F333" s="8">
        <v>0</v>
      </c>
      <c r="G333" s="8">
        <f>SUM(B333:F333)</f>
        <v>0</v>
      </c>
    </row>
    <row r="334" spans="1:7" ht="17.25" hidden="1">
      <c r="A334" s="15" t="s">
        <v>671</v>
      </c>
      <c r="B334" s="8">
        <v>0</v>
      </c>
      <c r="C334" s="8">
        <v>0</v>
      </c>
      <c r="D334" s="8">
        <v>0</v>
      </c>
      <c r="E334" s="8">
        <v>0</v>
      </c>
      <c r="F334" s="8">
        <v>0</v>
      </c>
      <c r="G334" s="8">
        <f>SUM(B334:F334)</f>
        <v>0</v>
      </c>
    </row>
    <row r="335" spans="1:7" ht="18" hidden="1">
      <c r="A335" s="15" t="s">
        <v>672</v>
      </c>
      <c r="B335" s="5">
        <f aca="true" t="shared" si="6" ref="B335:G335">B329+B330-B331+B332-B333-B334</f>
        <v>0</v>
      </c>
      <c r="C335" s="5">
        <f t="shared" si="6"/>
        <v>0</v>
      </c>
      <c r="D335" s="5">
        <f t="shared" si="6"/>
        <v>0</v>
      </c>
      <c r="E335" s="5">
        <f t="shared" si="6"/>
        <v>0</v>
      </c>
      <c r="F335" s="5">
        <f t="shared" si="6"/>
        <v>0</v>
      </c>
      <c r="G335" s="5">
        <f t="shared" si="6"/>
        <v>0</v>
      </c>
    </row>
    <row r="336" spans="1:7" ht="18" hidden="1">
      <c r="A336" s="2" t="s">
        <v>1123</v>
      </c>
      <c r="B336" s="8"/>
      <c r="C336" s="8"/>
      <c r="D336" s="8"/>
      <c r="E336" s="8"/>
      <c r="F336" s="8"/>
      <c r="G336" s="8"/>
    </row>
    <row r="337" spans="1:7" ht="18" hidden="1">
      <c r="A337" s="15" t="s">
        <v>674</v>
      </c>
      <c r="B337" s="5">
        <v>0</v>
      </c>
      <c r="C337" s="5">
        <v>0</v>
      </c>
      <c r="D337" s="5">
        <v>0</v>
      </c>
      <c r="E337" s="5">
        <v>0</v>
      </c>
      <c r="F337" s="5">
        <v>0</v>
      </c>
      <c r="G337" s="5">
        <f>SUM(B337:F337)</f>
        <v>0</v>
      </c>
    </row>
    <row r="338" spans="1:7" ht="18" hidden="1">
      <c r="A338" s="15" t="s">
        <v>41</v>
      </c>
      <c r="B338" s="5">
        <v>0</v>
      </c>
      <c r="C338" s="5">
        <v>0</v>
      </c>
      <c r="D338" s="5">
        <v>0</v>
      </c>
      <c r="E338" s="5">
        <v>0</v>
      </c>
      <c r="F338" s="5">
        <v>0</v>
      </c>
      <c r="G338" s="5">
        <f>SUM(B338:F338)</f>
        <v>0</v>
      </c>
    </row>
    <row r="339" spans="1:7" ht="17.25" hidden="1">
      <c r="A339" s="16"/>
      <c r="B339" s="17"/>
      <c r="C339" s="17"/>
      <c r="D339" s="17"/>
      <c r="E339" s="17"/>
      <c r="F339" s="17"/>
      <c r="G339" s="17"/>
    </row>
    <row r="340" spans="1:7" ht="17.25" hidden="1">
      <c r="A340" s="155" t="s">
        <v>1129</v>
      </c>
      <c r="B340" s="24"/>
      <c r="C340" s="24"/>
      <c r="D340" s="24"/>
      <c r="E340" s="24"/>
      <c r="F340" s="24"/>
      <c r="G340" s="24"/>
    </row>
    <row r="341" spans="1:7" ht="17.25" hidden="1">
      <c r="A341" s="156"/>
      <c r="B341" s="24"/>
      <c r="C341" s="24"/>
      <c r="D341" s="24"/>
      <c r="E341" s="24"/>
      <c r="F341" s="24"/>
      <c r="G341" s="24"/>
    </row>
    <row r="342" spans="1:7" ht="15.75">
      <c r="A342" s="170" t="s">
        <v>1130</v>
      </c>
      <c r="B342" s="171"/>
      <c r="C342" s="171"/>
      <c r="D342" s="171"/>
      <c r="E342" s="171"/>
      <c r="F342" s="199" t="s">
        <v>615</v>
      </c>
      <c r="G342" s="221" t="s">
        <v>278</v>
      </c>
    </row>
    <row r="343" spans="1:7" ht="15.75">
      <c r="A343" s="20" t="s">
        <v>1131</v>
      </c>
      <c r="B343" s="173"/>
      <c r="C343" s="173"/>
      <c r="D343" s="173"/>
      <c r="E343" s="292">
        <f>F343-'B 01-DN CD KETOAN '!D50</f>
        <v>0</v>
      </c>
      <c r="F343" s="5">
        <f>'BIEU 02-Bang CDSPS '!L143</f>
        <v>72821904411</v>
      </c>
      <c r="G343" s="176">
        <f>'BIEU 02-Bang CDSPS '!D143</f>
        <v>63785942542</v>
      </c>
    </row>
    <row r="344" spans="1:7" ht="15">
      <c r="A344" s="20" t="s">
        <v>902</v>
      </c>
      <c r="B344" s="173"/>
      <c r="C344" s="173"/>
      <c r="D344" s="173"/>
      <c r="E344" s="173"/>
      <c r="F344" s="8">
        <f>SUM(F345:F351)</f>
        <v>72821904411</v>
      </c>
      <c r="G344" s="174">
        <f>SUM(G345:G351)</f>
        <v>63785942542</v>
      </c>
    </row>
    <row r="345" spans="1:7" s="84" customFormat="1" ht="15">
      <c r="A345" s="190" t="s">
        <v>911</v>
      </c>
      <c r="B345" s="185"/>
      <c r="C345" s="185"/>
      <c r="D345" s="185"/>
      <c r="E345" s="185"/>
      <c r="F345" s="9">
        <f>51079517529+1098231867</f>
        <v>52177749396</v>
      </c>
      <c r="G345" s="71">
        <f>6146480225+37588983811+17956554</f>
        <v>43753420590</v>
      </c>
    </row>
    <row r="346" spans="1:7" s="84" customFormat="1" ht="16.5" hidden="1">
      <c r="A346" s="190" t="s">
        <v>681</v>
      </c>
      <c r="B346" s="185"/>
      <c r="C346" s="185"/>
      <c r="D346" s="185"/>
      <c r="E346" s="185"/>
      <c r="F346" s="9"/>
      <c r="G346" s="71"/>
    </row>
    <row r="347" spans="1:7" s="84" customFormat="1" ht="16.5" hidden="1">
      <c r="A347" s="190" t="s">
        <v>682</v>
      </c>
      <c r="B347" s="185"/>
      <c r="C347" s="185"/>
      <c r="D347" s="185"/>
      <c r="E347" s="185"/>
      <c r="F347" s="9"/>
      <c r="G347" s="71"/>
    </row>
    <row r="348" spans="1:7" s="84" customFormat="1" ht="15">
      <c r="A348" s="190" t="s">
        <v>195</v>
      </c>
      <c r="B348" s="185"/>
      <c r="C348" s="185"/>
      <c r="D348" s="185"/>
      <c r="E348" s="185"/>
      <c r="F348" s="9">
        <v>13087808910</v>
      </c>
      <c r="G348" s="71">
        <v>12887808910</v>
      </c>
    </row>
    <row r="349" spans="1:7" s="84" customFormat="1" ht="16.5" hidden="1">
      <c r="A349" s="190" t="s">
        <v>196</v>
      </c>
      <c r="B349" s="185"/>
      <c r="C349" s="185"/>
      <c r="D349" s="185"/>
      <c r="E349" s="185"/>
      <c r="F349" s="9">
        <v>0</v>
      </c>
      <c r="G349" s="71">
        <v>0</v>
      </c>
    </row>
    <row r="350" spans="1:7" s="84" customFormat="1" ht="15">
      <c r="A350" s="190" t="s">
        <v>860</v>
      </c>
      <c r="B350" s="185"/>
      <c r="C350" s="185"/>
      <c r="D350" s="185"/>
      <c r="E350" s="185"/>
      <c r="F350" s="9">
        <f>10854076+6195895704+944496295</f>
        <v>7151246075</v>
      </c>
      <c r="G350" s="71">
        <f>117700909+6097513174+929498959</f>
        <v>7144713042</v>
      </c>
    </row>
    <row r="351" spans="1:7" s="84" customFormat="1" ht="15">
      <c r="A351" s="190" t="s">
        <v>616</v>
      </c>
      <c r="B351" s="185"/>
      <c r="C351" s="185"/>
      <c r="D351" s="185"/>
      <c r="E351" s="185"/>
      <c r="F351" s="237">
        <f>61300030+343800000</f>
        <v>405100030</v>
      </c>
      <c r="G351" s="237">
        <v>0</v>
      </c>
    </row>
    <row r="352" spans="1:7" s="84" customFormat="1" ht="15">
      <c r="A352" s="190"/>
      <c r="B352" s="185"/>
      <c r="C352" s="185"/>
      <c r="D352" s="185"/>
      <c r="E352" s="185"/>
      <c r="F352" s="71"/>
      <c r="G352" s="191"/>
    </row>
    <row r="353" spans="1:7" ht="18" hidden="1">
      <c r="A353" s="27" t="s">
        <v>1132</v>
      </c>
      <c r="B353" s="173"/>
      <c r="C353" s="173"/>
      <c r="D353" s="173"/>
      <c r="E353" s="173"/>
      <c r="F353" s="8"/>
      <c r="G353" s="43"/>
    </row>
    <row r="354" spans="1:7" ht="17.25" hidden="1">
      <c r="A354" s="400" t="s">
        <v>899</v>
      </c>
      <c r="B354" s="192" t="s">
        <v>1142</v>
      </c>
      <c r="C354" s="192" t="s">
        <v>1155</v>
      </c>
      <c r="D354" s="192" t="s">
        <v>1156</v>
      </c>
      <c r="E354" s="195" t="s">
        <v>1142</v>
      </c>
      <c r="F354" s="8"/>
      <c r="G354" s="43"/>
    </row>
    <row r="355" spans="1:7" ht="17.25" hidden="1">
      <c r="A355" s="400"/>
      <c r="B355" s="192" t="s">
        <v>1143</v>
      </c>
      <c r="C355" s="192" t="s">
        <v>1144</v>
      </c>
      <c r="D355" s="192" t="s">
        <v>1144</v>
      </c>
      <c r="E355" s="195" t="s">
        <v>1145</v>
      </c>
      <c r="F355" s="8"/>
      <c r="G355" s="43"/>
    </row>
    <row r="356" spans="1:7" ht="18" hidden="1">
      <c r="A356" s="2" t="s">
        <v>1133</v>
      </c>
      <c r="B356" s="8"/>
      <c r="C356" s="8"/>
      <c r="D356" s="8"/>
      <c r="E356" s="19"/>
      <c r="F356" s="8"/>
      <c r="G356" s="43"/>
    </row>
    <row r="357" spans="1:7" ht="17.25" hidden="1">
      <c r="A357" s="15" t="s">
        <v>1134</v>
      </c>
      <c r="B357" s="8"/>
      <c r="C357" s="8"/>
      <c r="D357" s="8"/>
      <c r="E357" s="19"/>
      <c r="F357" s="8"/>
      <c r="G357" s="43"/>
    </row>
    <row r="358" spans="1:7" ht="17.25" hidden="1">
      <c r="A358" s="15" t="s">
        <v>1135</v>
      </c>
      <c r="B358" s="8"/>
      <c r="C358" s="8"/>
      <c r="D358" s="8"/>
      <c r="E358" s="19"/>
      <c r="F358" s="8"/>
      <c r="G358" s="43"/>
    </row>
    <row r="359" spans="1:7" ht="17.25" hidden="1">
      <c r="A359" s="15" t="s">
        <v>1136</v>
      </c>
      <c r="B359" s="8"/>
      <c r="C359" s="8"/>
      <c r="D359" s="8"/>
      <c r="E359" s="19"/>
      <c r="F359" s="8"/>
      <c r="G359" s="43"/>
    </row>
    <row r="360" spans="1:7" ht="17.25" hidden="1">
      <c r="A360" s="15" t="s">
        <v>1137</v>
      </c>
      <c r="B360" s="8"/>
      <c r="C360" s="8"/>
      <c r="D360" s="8"/>
      <c r="E360" s="19"/>
      <c r="F360" s="8"/>
      <c r="G360" s="43"/>
    </row>
    <row r="361" spans="1:7" ht="18" hidden="1">
      <c r="A361" s="2" t="s">
        <v>1138</v>
      </c>
      <c r="B361" s="8"/>
      <c r="C361" s="8"/>
      <c r="D361" s="8"/>
      <c r="E361" s="19"/>
      <c r="F361" s="8"/>
      <c r="G361" s="43"/>
    </row>
    <row r="362" spans="1:7" ht="17.25" hidden="1">
      <c r="A362" s="15" t="s">
        <v>1134</v>
      </c>
      <c r="B362" s="8"/>
      <c r="C362" s="8"/>
      <c r="D362" s="8"/>
      <c r="E362" s="19"/>
      <c r="F362" s="8"/>
      <c r="G362" s="43"/>
    </row>
    <row r="363" spans="1:7" ht="17.25" hidden="1">
      <c r="A363" s="15" t="s">
        <v>1135</v>
      </c>
      <c r="B363" s="8"/>
      <c r="C363" s="8"/>
      <c r="D363" s="8"/>
      <c r="E363" s="19"/>
      <c r="F363" s="8"/>
      <c r="G363" s="43"/>
    </row>
    <row r="364" spans="1:7" ht="17.25" hidden="1">
      <c r="A364" s="15" t="s">
        <v>1136</v>
      </c>
      <c r="B364" s="8"/>
      <c r="C364" s="8"/>
      <c r="D364" s="8"/>
      <c r="E364" s="19"/>
      <c r="F364" s="8"/>
      <c r="G364" s="43"/>
    </row>
    <row r="365" spans="1:7" ht="17.25" hidden="1">
      <c r="A365" s="15" t="s">
        <v>1137</v>
      </c>
      <c r="B365" s="8"/>
      <c r="C365" s="8"/>
      <c r="D365" s="8"/>
      <c r="E365" s="19"/>
      <c r="F365" s="8"/>
      <c r="G365" s="43"/>
    </row>
    <row r="366" spans="1:7" ht="18" hidden="1">
      <c r="A366" s="2" t="s">
        <v>1141</v>
      </c>
      <c r="B366" s="8"/>
      <c r="C366" s="8"/>
      <c r="D366" s="8"/>
      <c r="E366" s="19"/>
      <c r="F366" s="8"/>
      <c r="G366" s="43"/>
    </row>
    <row r="367" spans="1:7" ht="17.25" hidden="1">
      <c r="A367" s="15" t="s">
        <v>1134</v>
      </c>
      <c r="B367" s="8"/>
      <c r="C367" s="8"/>
      <c r="D367" s="8"/>
      <c r="E367" s="19"/>
      <c r="F367" s="8"/>
      <c r="G367" s="43"/>
    </row>
    <row r="368" spans="1:7" ht="17.25" hidden="1">
      <c r="A368" s="15" t="s">
        <v>1135</v>
      </c>
      <c r="B368" s="8"/>
      <c r="C368" s="8"/>
      <c r="D368" s="8"/>
      <c r="E368" s="19"/>
      <c r="F368" s="8"/>
      <c r="G368" s="43"/>
    </row>
    <row r="369" spans="1:7" ht="17.25" hidden="1">
      <c r="A369" s="15" t="s">
        <v>1136</v>
      </c>
      <c r="B369" s="8"/>
      <c r="C369" s="8"/>
      <c r="D369" s="8"/>
      <c r="E369" s="19"/>
      <c r="F369" s="8"/>
      <c r="G369" s="43"/>
    </row>
    <row r="370" spans="1:7" ht="17.25" hidden="1">
      <c r="A370" s="15" t="s">
        <v>1137</v>
      </c>
      <c r="B370" s="8"/>
      <c r="C370" s="8"/>
      <c r="D370" s="8"/>
      <c r="E370" s="19"/>
      <c r="F370" s="8"/>
      <c r="G370" s="43"/>
    </row>
    <row r="371" spans="1:7" ht="17.25" hidden="1">
      <c r="A371" s="15"/>
      <c r="B371" s="8"/>
      <c r="C371" s="8"/>
      <c r="D371" s="8"/>
      <c r="E371" s="19"/>
      <c r="F371" s="8"/>
      <c r="G371" s="43"/>
    </row>
    <row r="372" spans="1:7" ht="17.25" hidden="1">
      <c r="A372" s="193" t="s">
        <v>1129</v>
      </c>
      <c r="B372" s="173"/>
      <c r="C372" s="173"/>
      <c r="D372" s="173"/>
      <c r="E372" s="173"/>
      <c r="F372" s="8"/>
      <c r="G372" s="43"/>
    </row>
    <row r="373" spans="1:7" ht="17.25" hidden="1">
      <c r="A373" s="194" t="s">
        <v>1018</v>
      </c>
      <c r="B373" s="173"/>
      <c r="C373" s="173"/>
      <c r="D373" s="173"/>
      <c r="E373" s="173"/>
      <c r="F373" s="8"/>
      <c r="G373" s="43"/>
    </row>
    <row r="374" spans="1:7" ht="18" hidden="1">
      <c r="A374" s="27"/>
      <c r="B374" s="173"/>
      <c r="C374" s="173"/>
      <c r="D374" s="173"/>
      <c r="E374" s="173"/>
      <c r="F374" s="8"/>
      <c r="G374" s="43"/>
    </row>
    <row r="375" spans="1:7" ht="15.75">
      <c r="A375" s="27" t="s">
        <v>40</v>
      </c>
      <c r="B375" s="173"/>
      <c r="C375" s="173"/>
      <c r="D375" s="173"/>
      <c r="E375" s="173"/>
      <c r="F375" s="199" t="s">
        <v>615</v>
      </c>
      <c r="G375" s="199" t="s">
        <v>278</v>
      </c>
    </row>
    <row r="376" spans="1:7" ht="17.25" hidden="1">
      <c r="A376" s="20" t="s">
        <v>1146</v>
      </c>
      <c r="B376" s="173"/>
      <c r="C376" s="173"/>
      <c r="D376" s="173"/>
      <c r="E376" s="173"/>
      <c r="F376" s="69"/>
      <c r="G376" s="174"/>
    </row>
    <row r="377" spans="1:7" ht="15">
      <c r="A377" s="20" t="s">
        <v>1147</v>
      </c>
      <c r="B377" s="173"/>
      <c r="C377" s="173"/>
      <c r="D377" s="173"/>
      <c r="E377" s="173"/>
      <c r="F377" s="8">
        <f>'BIEU 02-Bang CDSPS '!L138</f>
        <v>0</v>
      </c>
      <c r="G377" s="174">
        <f>'BIEU 02-Bang CDSPS '!D138</f>
        <v>554400000</v>
      </c>
    </row>
    <row r="378" spans="1:7" ht="17.25" hidden="1">
      <c r="A378" s="20" t="s">
        <v>1148</v>
      </c>
      <c r="B378" s="173"/>
      <c r="C378" s="173"/>
      <c r="D378" s="173"/>
      <c r="E378" s="173"/>
      <c r="F378" s="8">
        <v>0</v>
      </c>
      <c r="G378" s="174"/>
    </row>
    <row r="379" spans="1:7" ht="17.25" hidden="1">
      <c r="A379" s="20" t="s">
        <v>36</v>
      </c>
      <c r="B379" s="173"/>
      <c r="C379" s="173"/>
      <c r="D379" s="173"/>
      <c r="E379" s="173"/>
      <c r="F379" s="8">
        <v>0</v>
      </c>
      <c r="G379" s="174"/>
    </row>
    <row r="380" spans="1:7" ht="15">
      <c r="A380" s="20" t="s">
        <v>906</v>
      </c>
      <c r="B380" s="173"/>
      <c r="C380" s="173"/>
      <c r="D380" s="173"/>
      <c r="E380" s="173"/>
      <c r="F380" s="8">
        <f>'BIEU 02-Bang CDSPS '!L139</f>
        <v>125754553550</v>
      </c>
      <c r="G380" s="174">
        <f>'BIEU 02-Bang CDSPS '!D139</f>
        <v>118914553550</v>
      </c>
    </row>
    <row r="381" spans="1:7" ht="15.75">
      <c r="A381" s="175" t="s">
        <v>907</v>
      </c>
      <c r="B381" s="173"/>
      <c r="C381" s="173"/>
      <c r="D381" s="173"/>
      <c r="E381" s="292">
        <f>F381-'B 01-DN CD KETOAN '!D57</f>
        <v>0</v>
      </c>
      <c r="F381" s="5">
        <f>SUM(F376:F380)</f>
        <v>125754553550</v>
      </c>
      <c r="G381" s="176">
        <f>SUM(G376:G380)</f>
        <v>119468953550</v>
      </c>
    </row>
    <row r="382" spans="1:7" ht="17.25" hidden="1">
      <c r="A382" s="20"/>
      <c r="B382" s="173"/>
      <c r="C382" s="173"/>
      <c r="D382" s="173"/>
      <c r="E382" s="173"/>
      <c r="F382" s="8"/>
      <c r="G382" s="174"/>
    </row>
    <row r="383" spans="1:7" ht="17.25" hidden="1">
      <c r="A383" s="20" t="s">
        <v>908</v>
      </c>
      <c r="B383" s="173"/>
      <c r="C383" s="173"/>
      <c r="D383" s="173"/>
      <c r="E383" s="173"/>
      <c r="F383" s="8"/>
      <c r="G383" s="174"/>
    </row>
    <row r="384" spans="1:7" ht="15">
      <c r="A384" s="20"/>
      <c r="B384" s="173"/>
      <c r="C384" s="173"/>
      <c r="D384" s="173"/>
      <c r="E384" s="173"/>
      <c r="F384" s="8"/>
      <c r="G384" s="174"/>
    </row>
    <row r="385" spans="1:7" ht="15.75">
      <c r="A385" s="27" t="s">
        <v>92</v>
      </c>
      <c r="B385" s="173"/>
      <c r="C385" s="173"/>
      <c r="D385" s="173"/>
      <c r="E385" s="173"/>
      <c r="F385" s="199" t="s">
        <v>615</v>
      </c>
      <c r="G385" s="199" t="s">
        <v>278</v>
      </c>
    </row>
    <row r="386" spans="1:7" ht="15">
      <c r="A386" s="20" t="s">
        <v>420</v>
      </c>
      <c r="B386" s="173"/>
      <c r="C386" s="173"/>
      <c r="D386" s="173"/>
      <c r="E386" s="173"/>
      <c r="F386" s="8">
        <f>30351430299-3793928787-948482000-93201000+114830307-1291354307-10252895860</f>
        <v>14086398652</v>
      </c>
      <c r="G386" s="69">
        <f>34145359086-3793928787-3793928787</f>
        <v>26557501512</v>
      </c>
    </row>
    <row r="387" spans="1:7" ht="15">
      <c r="A387" s="20" t="s">
        <v>531</v>
      </c>
      <c r="B387" s="173"/>
      <c r="C387" s="173"/>
      <c r="D387" s="173"/>
      <c r="E387" s="173"/>
      <c r="F387" s="8">
        <f>'BIEU 02-Bang CDSPS '!L145-F386-F388</f>
        <v>2838723062</v>
      </c>
      <c r="G387" s="69">
        <f>3763669459</f>
        <v>3763669459</v>
      </c>
    </row>
    <row r="388" spans="1:7" ht="15">
      <c r="A388" s="20" t="s">
        <v>532</v>
      </c>
      <c r="B388" s="173"/>
      <c r="C388" s="173"/>
      <c r="D388" s="173"/>
      <c r="E388" s="173"/>
      <c r="F388" s="8">
        <f>1251710139+28901590+71997109+160678000+1224728880+164311000+341809160+553780700+194399600</f>
        <v>3992316178</v>
      </c>
      <c r="G388" s="69">
        <f>'BIEU 02-Bang CDSPS '!D145-G386-G387</f>
        <v>2666096788</v>
      </c>
    </row>
    <row r="389" spans="1:7" ht="15.75">
      <c r="A389" s="179" t="s">
        <v>907</v>
      </c>
      <c r="B389" s="180"/>
      <c r="C389" s="180"/>
      <c r="D389" s="180"/>
      <c r="E389" s="293">
        <f>F389-'B 01-DN CD KETOAN '!D60</f>
        <v>0</v>
      </c>
      <c r="F389" s="59">
        <f>SUM(F386:F388)</f>
        <v>20917437892</v>
      </c>
      <c r="G389" s="181">
        <f>SUM(G386:G388)</f>
        <v>32987267759</v>
      </c>
    </row>
    <row r="390" spans="1:7" ht="18" hidden="1">
      <c r="A390" s="60"/>
      <c r="B390" s="24"/>
      <c r="C390" s="24"/>
      <c r="D390" s="24"/>
      <c r="E390" s="24"/>
      <c r="F390" s="249"/>
      <c r="G390" s="249"/>
    </row>
    <row r="391" spans="6:7" ht="15">
      <c r="F391" s="247"/>
      <c r="G391" s="24"/>
    </row>
    <row r="392" spans="1:7" ht="15.75">
      <c r="A392" s="170" t="s">
        <v>93</v>
      </c>
      <c r="B392" s="171"/>
      <c r="C392" s="171"/>
      <c r="D392" s="171"/>
      <c r="E392" s="171"/>
      <c r="F392" s="246" t="s">
        <v>615</v>
      </c>
      <c r="G392" s="221" t="s">
        <v>278</v>
      </c>
    </row>
    <row r="393" spans="1:7" ht="15">
      <c r="A393" s="20" t="s">
        <v>909</v>
      </c>
      <c r="B393" s="173"/>
      <c r="C393" s="173"/>
      <c r="D393" s="173"/>
      <c r="E393" s="173"/>
      <c r="F393" s="8">
        <f>'BIEU 02-Bang CDSPS '!N153</f>
        <v>0</v>
      </c>
      <c r="G393" s="174">
        <f>'BIEU 02-Bang CDSPS '!F153</f>
        <v>1506930393</v>
      </c>
    </row>
    <row r="394" spans="1:7" ht="15">
      <c r="A394" s="20" t="s">
        <v>94</v>
      </c>
      <c r="B394" s="173"/>
      <c r="C394" s="173"/>
      <c r="D394" s="173"/>
      <c r="E394" s="173"/>
      <c r="F394" s="8">
        <f>'BIEU 02-Bang CDSPS '!N155</f>
        <v>6829346712</v>
      </c>
      <c r="G394" s="174">
        <f>'BIEU 02-Bang CDSPS '!F155</f>
        <v>10086802005</v>
      </c>
    </row>
    <row r="395" spans="1:7" ht="15.75">
      <c r="A395" s="179" t="s">
        <v>907</v>
      </c>
      <c r="B395" s="180"/>
      <c r="C395" s="180"/>
      <c r="D395" s="180"/>
      <c r="E395" s="293">
        <f>F395-'B 01-DN CD KETOAN '!D72</f>
        <v>0</v>
      </c>
      <c r="F395" s="59">
        <f>SUM(F393:F394)</f>
        <v>6829346712</v>
      </c>
      <c r="G395" s="181">
        <f>SUM(G393:G394)</f>
        <v>11593732398</v>
      </c>
    </row>
    <row r="396" spans="1:7" ht="15">
      <c r="A396" s="37"/>
      <c r="B396" s="171"/>
      <c r="C396" s="171"/>
      <c r="D396" s="171"/>
      <c r="E396" s="171"/>
      <c r="F396" s="23"/>
      <c r="G396" s="307"/>
    </row>
    <row r="397" spans="1:7" ht="15.75">
      <c r="A397" s="27" t="s">
        <v>1069</v>
      </c>
      <c r="B397" s="173"/>
      <c r="C397" s="173"/>
      <c r="D397" s="173"/>
      <c r="E397" s="173"/>
      <c r="F397" s="199" t="s">
        <v>615</v>
      </c>
      <c r="G397" s="199" t="s">
        <v>278</v>
      </c>
    </row>
    <row r="398" spans="1:7" ht="15">
      <c r="A398" s="20" t="s">
        <v>1064</v>
      </c>
      <c r="B398" s="173"/>
      <c r="C398" s="173"/>
      <c r="D398" s="173"/>
      <c r="E398" s="173"/>
      <c r="F398" s="8"/>
      <c r="G398" s="174"/>
    </row>
    <row r="399" spans="1:7" ht="15">
      <c r="A399" s="20" t="s">
        <v>982</v>
      </c>
      <c r="B399" s="173"/>
      <c r="C399" s="173"/>
      <c r="D399" s="173"/>
      <c r="E399" s="173"/>
      <c r="F399" s="8">
        <f>'BIEU 02-Bang CDSPS '!N162</f>
        <v>1273165817</v>
      </c>
      <c r="G399" s="174">
        <f>'BIEU 02-Bang CDSPS '!F162</f>
        <v>88277286</v>
      </c>
    </row>
    <row r="400" spans="1:7" ht="17.25" hidden="1">
      <c r="A400" s="20" t="s">
        <v>984</v>
      </c>
      <c r="B400" s="173"/>
      <c r="C400" s="173"/>
      <c r="D400" s="173"/>
      <c r="E400" s="173"/>
      <c r="F400" s="164">
        <f>'BIEU 02-Bang CDSPS '!N163</f>
        <v>0</v>
      </c>
      <c r="G400" s="174">
        <f>'BIEU 02-Bang CDSPS '!F163</f>
        <v>0</v>
      </c>
    </row>
    <row r="401" spans="1:7" ht="15">
      <c r="A401" s="20" t="s">
        <v>983</v>
      </c>
      <c r="B401" s="173"/>
      <c r="C401" s="173"/>
      <c r="D401" s="173"/>
      <c r="E401" s="173"/>
      <c r="F401" s="8">
        <f>'BIEU 02-Bang CDSPS '!N164</f>
        <v>7008938439</v>
      </c>
      <c r="G401" s="174">
        <f>'BIEU 02-Bang CDSPS '!F164</f>
        <v>6359719228</v>
      </c>
    </row>
    <row r="402" spans="1:7" ht="15">
      <c r="A402" s="20" t="s">
        <v>573</v>
      </c>
      <c r="B402" s="173"/>
      <c r="C402" s="173"/>
      <c r="D402" s="173"/>
      <c r="E402" s="173"/>
      <c r="F402" s="8">
        <f>'BIEU 02-Bang CDSPS '!N165</f>
        <v>22790796069</v>
      </c>
      <c r="G402" s="174">
        <f>'BIEU 02-Bang CDSPS '!F165</f>
        <v>13997563125</v>
      </c>
    </row>
    <row r="403" spans="1:7" ht="17.25" hidden="1">
      <c r="A403" s="20" t="s">
        <v>995</v>
      </c>
      <c r="B403" s="173"/>
      <c r="C403" s="173"/>
      <c r="D403" s="173"/>
      <c r="E403" s="173"/>
      <c r="F403" s="8">
        <f>'BIEU 02-Bang CDSPS '!N166</f>
        <v>0</v>
      </c>
      <c r="G403" s="174">
        <f>'BIEU 02-Bang CDSPS '!F166</f>
        <v>0</v>
      </c>
    </row>
    <row r="404" spans="1:7" ht="17.25" hidden="1">
      <c r="A404" s="20" t="s">
        <v>996</v>
      </c>
      <c r="B404" s="173"/>
      <c r="C404" s="173"/>
      <c r="D404" s="173"/>
      <c r="E404" s="173"/>
      <c r="F404" s="8">
        <f>'BIEU 02-Bang CDSPS '!N167</f>
        <v>0</v>
      </c>
      <c r="G404" s="174">
        <f>'BIEU 02-Bang CDSPS '!F167</f>
        <v>0</v>
      </c>
    </row>
    <row r="405" spans="1:7" ht="15">
      <c r="A405" s="20" t="s">
        <v>997</v>
      </c>
      <c r="B405" s="173"/>
      <c r="C405" s="173"/>
      <c r="D405" s="173"/>
      <c r="E405" s="173"/>
      <c r="F405" s="8">
        <f>'BIEU 02-Bang CDSPS '!N168</f>
        <v>145801600</v>
      </c>
      <c r="G405" s="174">
        <f>'BIEU 02-Bang CDSPS '!F168</f>
        <v>563513500</v>
      </c>
    </row>
    <row r="406" spans="1:7" ht="17.25" hidden="1">
      <c r="A406" s="178" t="s">
        <v>1065</v>
      </c>
      <c r="B406" s="173"/>
      <c r="C406" s="173"/>
      <c r="D406" s="173"/>
      <c r="E406" s="173"/>
      <c r="F406" s="8"/>
      <c r="G406" s="174"/>
    </row>
    <row r="407" spans="1:7" ht="17.25" hidden="1">
      <c r="A407" s="178" t="s">
        <v>1066</v>
      </c>
      <c r="B407" s="173"/>
      <c r="C407" s="173"/>
      <c r="D407" s="173"/>
      <c r="E407" s="173"/>
      <c r="F407" s="8"/>
      <c r="G407" s="174"/>
    </row>
    <row r="408" spans="1:7" ht="17.25" hidden="1">
      <c r="A408" s="178" t="s">
        <v>1067</v>
      </c>
      <c r="B408" s="173"/>
      <c r="C408" s="173"/>
      <c r="D408" s="173"/>
      <c r="E408" s="173"/>
      <c r="F408" s="8"/>
      <c r="G408" s="174"/>
    </row>
    <row r="409" spans="1:7" ht="15.75">
      <c r="A409" s="175" t="s">
        <v>907</v>
      </c>
      <c r="B409" s="173"/>
      <c r="C409" s="173"/>
      <c r="D409" s="173"/>
      <c r="E409" s="292">
        <f>F409-'B 01-DN CD KETOAN '!D75</f>
        <v>0</v>
      </c>
      <c r="F409" s="5">
        <f>SUM(F399:F408)</f>
        <v>31218701925</v>
      </c>
      <c r="G409" s="176">
        <f>SUM(G399:G408)</f>
        <v>21009073139</v>
      </c>
    </row>
    <row r="410" spans="1:7" ht="15.75">
      <c r="A410" s="175"/>
      <c r="B410" s="173"/>
      <c r="C410" s="173"/>
      <c r="D410" s="173"/>
      <c r="E410" s="173"/>
      <c r="F410" s="5"/>
      <c r="G410" s="44"/>
    </row>
    <row r="411" spans="1:7" ht="15.75">
      <c r="A411" s="27" t="s">
        <v>1068</v>
      </c>
      <c r="B411" s="173"/>
      <c r="C411" s="173"/>
      <c r="D411" s="173"/>
      <c r="E411" s="173"/>
      <c r="F411" s="199" t="s">
        <v>615</v>
      </c>
      <c r="G411" s="199" t="s">
        <v>278</v>
      </c>
    </row>
    <row r="412" spans="1:7" ht="15">
      <c r="A412" s="20" t="s">
        <v>95</v>
      </c>
      <c r="B412" s="173"/>
      <c r="C412" s="173"/>
      <c r="D412" s="173"/>
      <c r="E412" s="173"/>
      <c r="F412" s="8">
        <f>'BIEU 02-Bang CDSPS '!N177-F413</f>
        <v>0</v>
      </c>
      <c r="G412" s="69">
        <f>'BIEU 02-Bang CDSPS '!F177-G413</f>
        <v>147328029</v>
      </c>
    </row>
    <row r="413" spans="1:7" ht="15">
      <c r="A413" s="20" t="s">
        <v>259</v>
      </c>
      <c r="B413" s="173"/>
      <c r="C413" s="173"/>
      <c r="D413" s="173"/>
      <c r="E413" s="173"/>
      <c r="F413" s="8">
        <v>148961166</v>
      </c>
      <c r="G413" s="69">
        <v>90334508</v>
      </c>
    </row>
    <row r="414" spans="1:7" ht="17.25" hidden="1">
      <c r="A414" s="20" t="s">
        <v>96</v>
      </c>
      <c r="B414" s="173"/>
      <c r="C414" s="173"/>
      <c r="D414" s="173"/>
      <c r="E414" s="173"/>
      <c r="F414" s="8"/>
      <c r="G414" s="196"/>
    </row>
    <row r="415" spans="1:7" ht="17.25" hidden="1">
      <c r="A415" s="20" t="s">
        <v>97</v>
      </c>
      <c r="B415" s="173"/>
      <c r="C415" s="173"/>
      <c r="D415" s="173"/>
      <c r="E415" s="173"/>
      <c r="F415" s="8"/>
      <c r="G415" s="174"/>
    </row>
    <row r="416" spans="1:7" ht="15.75">
      <c r="A416" s="175" t="s">
        <v>907</v>
      </c>
      <c r="B416" s="173"/>
      <c r="C416" s="173"/>
      <c r="D416" s="173"/>
      <c r="E416" s="292">
        <f>F416-'B 01-DN CD KETOAN '!D77</f>
        <v>0</v>
      </c>
      <c r="F416" s="5">
        <f>SUM(F412:F415)</f>
        <v>148961166</v>
      </c>
      <c r="G416" s="176">
        <f>SUM(G412:G415)</f>
        <v>237662537</v>
      </c>
    </row>
    <row r="417" spans="1:7" ht="15.75">
      <c r="A417" s="175"/>
      <c r="B417" s="173"/>
      <c r="C417" s="173"/>
      <c r="D417" s="173"/>
      <c r="E417" s="173"/>
      <c r="F417" s="5"/>
      <c r="G417" s="44"/>
    </row>
    <row r="418" spans="1:7" ht="15.75">
      <c r="A418" s="27" t="s">
        <v>56</v>
      </c>
      <c r="B418" s="173"/>
      <c r="C418" s="173"/>
      <c r="D418" s="173"/>
      <c r="E418" s="173"/>
      <c r="F418" s="199" t="s">
        <v>615</v>
      </c>
      <c r="G418" s="199" t="s">
        <v>278</v>
      </c>
    </row>
    <row r="419" spans="1:7" ht="15">
      <c r="A419" s="20" t="s">
        <v>780</v>
      </c>
      <c r="B419" s="173"/>
      <c r="C419" s="173"/>
      <c r="D419" s="173"/>
      <c r="E419" s="173"/>
      <c r="F419" s="8">
        <f>'BIEU 02-Bang CDSPS '!N185</f>
        <v>1600642384</v>
      </c>
      <c r="G419" s="174">
        <f>'BIEU 02-Bang CDSPS '!F185</f>
        <v>1567075808</v>
      </c>
    </row>
    <row r="420" spans="1:7" ht="15">
      <c r="A420" s="20" t="s">
        <v>861</v>
      </c>
      <c r="B420" s="173"/>
      <c r="C420" s="173"/>
      <c r="D420" s="173"/>
      <c r="E420" s="173"/>
      <c r="F420" s="8">
        <v>1196079159</v>
      </c>
      <c r="G420" s="69">
        <v>315585362</v>
      </c>
    </row>
    <row r="421" spans="1:7" ht="15">
      <c r="A421" s="20" t="s">
        <v>197</v>
      </c>
      <c r="B421" s="173"/>
      <c r="C421" s="173"/>
      <c r="D421" s="173"/>
      <c r="E421" s="173"/>
      <c r="F421" s="8">
        <f>28275000+11250000+2250000-6300000+60000000000-8980200000-15000000000-2800000-10000000000-10800000-6000000000-10000000000-10000000000</f>
        <v>41675000</v>
      </c>
      <c r="G421" s="174">
        <v>41775000</v>
      </c>
    </row>
    <row r="422" spans="1:7" ht="15">
      <c r="A422" s="20" t="s">
        <v>398</v>
      </c>
      <c r="B422" s="173"/>
      <c r="C422" s="173"/>
      <c r="D422" s="173"/>
      <c r="E422" s="173"/>
      <c r="F422" s="8"/>
      <c r="G422" s="174"/>
    </row>
    <row r="423" spans="1:7" ht="15">
      <c r="A423" s="20" t="s">
        <v>399</v>
      </c>
      <c r="B423" s="173"/>
      <c r="C423" s="173"/>
      <c r="D423" s="173"/>
      <c r="E423" s="173"/>
      <c r="F423" s="8">
        <v>95500000</v>
      </c>
      <c r="G423" s="174">
        <v>2915417034</v>
      </c>
    </row>
    <row r="424" spans="1:7" ht="15">
      <c r="A424" s="20" t="s">
        <v>779</v>
      </c>
      <c r="B424" s="173"/>
      <c r="C424" s="173"/>
      <c r="D424" s="173"/>
      <c r="E424" s="173"/>
      <c r="F424" s="8">
        <f>'BIEU 02-Bang CDSPS '!N186</f>
        <v>445443792</v>
      </c>
      <c r="G424" s="240">
        <f>'BIEU 02-Bang CDSPS '!F186</f>
        <v>0</v>
      </c>
    </row>
    <row r="425" spans="1:7" ht="15">
      <c r="A425" s="20" t="s">
        <v>778</v>
      </c>
      <c r="B425" s="173"/>
      <c r="C425" s="173"/>
      <c r="D425" s="173"/>
      <c r="E425" s="173"/>
      <c r="F425" s="8">
        <f>'BIEU 02-Bang CDSPS '!N187</f>
        <v>0</v>
      </c>
      <c r="G425" s="240">
        <f>'BIEU 02-Bang CDSPS '!F187</f>
        <v>0</v>
      </c>
    </row>
    <row r="426" spans="1:7" ht="15">
      <c r="A426" s="20" t="s">
        <v>400</v>
      </c>
      <c r="B426" s="173"/>
      <c r="C426" s="173"/>
      <c r="D426" s="173"/>
      <c r="E426" s="173"/>
      <c r="F426" s="8">
        <v>0</v>
      </c>
      <c r="G426" s="174">
        <v>0</v>
      </c>
    </row>
    <row r="427" spans="1:7" ht="15">
      <c r="A427" s="20" t="s">
        <v>57</v>
      </c>
      <c r="B427" s="173"/>
      <c r="C427" s="173"/>
      <c r="D427" s="173"/>
      <c r="E427" s="173"/>
      <c r="F427" s="8">
        <f>'BIEU 02-Bang CDSPS '!N188+'BIEU 02-Bang CDSPS '!N189</f>
        <v>0</v>
      </c>
      <c r="G427" s="174">
        <f>'BIEU 02-Bang CDSPS '!F188+'BIEU 02-Bang CDSPS '!F189</f>
        <v>18000000</v>
      </c>
    </row>
    <row r="428" spans="1:7" ht="15">
      <c r="A428" s="20" t="s">
        <v>58</v>
      </c>
      <c r="B428" s="173"/>
      <c r="C428" s="173"/>
      <c r="D428" s="173"/>
      <c r="E428" s="173"/>
      <c r="F428" s="8">
        <f>'BIEU 02-Bang CDSPS '!N200</f>
        <v>0</v>
      </c>
      <c r="G428" s="174">
        <f>'BIEU 02-Bang CDSPS '!F200</f>
        <v>0</v>
      </c>
    </row>
    <row r="429" spans="1:7" ht="15">
      <c r="A429" s="20" t="s">
        <v>1036</v>
      </c>
      <c r="B429" s="173"/>
      <c r="C429" s="173"/>
      <c r="D429" s="173"/>
      <c r="E429" s="173"/>
      <c r="F429" s="8">
        <f>'B 01-DN CD KETOAN '!D80-F419-F420-F421-F422-F423-F424-F425-F426-F427-F428</f>
        <v>259040182</v>
      </c>
      <c r="G429" s="174">
        <f>'B 01-DN CD KETOAN '!E80-G419-G420-G421-G422-G423-G424-G425-G426-G427-G428</f>
        <v>65478883</v>
      </c>
    </row>
    <row r="430" spans="1:7" ht="15.75">
      <c r="A430" s="175" t="s">
        <v>907</v>
      </c>
      <c r="B430" s="173"/>
      <c r="C430" s="173"/>
      <c r="D430" s="173"/>
      <c r="E430" s="292">
        <f>F430-'B 01-DN CD KETOAN '!D80</f>
        <v>0</v>
      </c>
      <c r="F430" s="5">
        <f>SUM(F419:F429)</f>
        <v>3638380517</v>
      </c>
      <c r="G430" s="176">
        <f>SUM(G419:G429)</f>
        <v>4923332087</v>
      </c>
    </row>
    <row r="431" spans="1:7" ht="17.25" hidden="1">
      <c r="A431" s="20"/>
      <c r="B431" s="173"/>
      <c r="C431" s="173"/>
      <c r="D431" s="173"/>
      <c r="E431" s="173"/>
      <c r="F431" s="8"/>
      <c r="G431" s="43"/>
    </row>
    <row r="432" spans="1:7" ht="18" hidden="1">
      <c r="A432" s="27" t="s">
        <v>1037</v>
      </c>
      <c r="B432" s="173"/>
      <c r="C432" s="173"/>
      <c r="D432" s="173"/>
      <c r="E432" s="173"/>
      <c r="F432" s="199" t="s">
        <v>1087</v>
      </c>
      <c r="G432" s="199" t="s">
        <v>521</v>
      </c>
    </row>
    <row r="433" spans="1:7" ht="17.25" hidden="1">
      <c r="A433" s="20" t="s">
        <v>1038</v>
      </c>
      <c r="B433" s="173"/>
      <c r="C433" s="173"/>
      <c r="D433" s="173"/>
      <c r="E433" s="173"/>
      <c r="F433" s="69"/>
      <c r="G433" s="174"/>
    </row>
    <row r="434" spans="1:7" ht="17.25" hidden="1">
      <c r="A434" s="20" t="s">
        <v>59</v>
      </c>
      <c r="B434" s="173"/>
      <c r="C434" s="173"/>
      <c r="D434" s="173"/>
      <c r="E434" s="173"/>
      <c r="F434" s="69"/>
      <c r="G434" s="174"/>
    </row>
    <row r="435" spans="1:7" ht="17.25" hidden="1">
      <c r="A435" s="20" t="s">
        <v>1039</v>
      </c>
      <c r="B435" s="173"/>
      <c r="C435" s="173"/>
      <c r="D435" s="173"/>
      <c r="E435" s="173"/>
      <c r="F435" s="69"/>
      <c r="G435" s="174"/>
    </row>
    <row r="436" spans="1:7" ht="18" hidden="1">
      <c r="A436" s="175" t="s">
        <v>907</v>
      </c>
      <c r="B436" s="173"/>
      <c r="C436" s="173"/>
      <c r="D436" s="173"/>
      <c r="E436" s="173"/>
      <c r="F436" s="70">
        <f>SUM(F433:F435)</f>
        <v>0</v>
      </c>
      <c r="G436" s="176">
        <f>SUM(G433:G435)</f>
        <v>0</v>
      </c>
    </row>
    <row r="437" spans="1:7" ht="15">
      <c r="A437" s="20"/>
      <c r="B437" s="173"/>
      <c r="C437" s="173"/>
      <c r="D437" s="173"/>
      <c r="E437" s="173"/>
      <c r="F437" s="69"/>
      <c r="G437" s="174"/>
    </row>
    <row r="438" spans="1:7" ht="15.75">
      <c r="A438" s="27" t="s">
        <v>60</v>
      </c>
      <c r="B438" s="173"/>
      <c r="C438" s="173"/>
      <c r="D438" s="173"/>
      <c r="E438" s="173"/>
      <c r="F438" s="199" t="s">
        <v>615</v>
      </c>
      <c r="G438" s="199" t="s">
        <v>278</v>
      </c>
    </row>
    <row r="439" spans="1:7" ht="15">
      <c r="A439" s="20" t="s">
        <v>61</v>
      </c>
      <c r="B439" s="173"/>
      <c r="C439" s="173"/>
      <c r="D439" s="173"/>
      <c r="E439" s="173"/>
      <c r="F439" s="8">
        <f>SUM(F440:F442)</f>
        <v>34758155155</v>
      </c>
      <c r="G439" s="174">
        <f>SUM(G440:G442)</f>
        <v>34758155155</v>
      </c>
    </row>
    <row r="440" spans="1:7" s="84" customFormat="1" ht="15">
      <c r="A440" s="190" t="s">
        <v>1040</v>
      </c>
      <c r="B440" s="185"/>
      <c r="C440" s="185"/>
      <c r="D440" s="185"/>
      <c r="E440" s="185"/>
      <c r="F440" s="9">
        <f>'BIEU 02-Bang CDSPS '!N194</f>
        <v>34758155155</v>
      </c>
      <c r="G440" s="187">
        <f>'BIEU 02-Bang CDSPS '!F194</f>
        <v>34758155155</v>
      </c>
    </row>
    <row r="441" spans="1:7" s="84" customFormat="1" ht="16.5" hidden="1">
      <c r="A441" s="190" t="s">
        <v>1041</v>
      </c>
      <c r="B441" s="185"/>
      <c r="C441" s="185"/>
      <c r="D441" s="185"/>
      <c r="E441" s="185"/>
      <c r="F441" s="9"/>
      <c r="G441" s="187"/>
    </row>
    <row r="442" spans="1:7" s="84" customFormat="1" ht="16.5" hidden="1">
      <c r="A442" s="190" t="s">
        <v>98</v>
      </c>
      <c r="B442" s="185"/>
      <c r="C442" s="185"/>
      <c r="D442" s="185"/>
      <c r="E442" s="185"/>
      <c r="F442" s="9"/>
      <c r="G442" s="187"/>
    </row>
    <row r="443" spans="1:7" ht="15">
      <c r="A443" s="20" t="s">
        <v>62</v>
      </c>
      <c r="B443" s="173"/>
      <c r="C443" s="173"/>
      <c r="D443" s="173"/>
      <c r="E443" s="173"/>
      <c r="F443" s="8">
        <f>SUM(F444:F445)</f>
        <v>0</v>
      </c>
      <c r="G443" s="174">
        <f>SUM(G444:G445)</f>
        <v>0</v>
      </c>
    </row>
    <row r="444" spans="1:7" s="84" customFormat="1" ht="16.5" hidden="1">
      <c r="A444" s="190" t="s">
        <v>1042</v>
      </c>
      <c r="B444" s="185"/>
      <c r="C444" s="185"/>
      <c r="D444" s="185"/>
      <c r="E444" s="185"/>
      <c r="F444" s="9"/>
      <c r="G444" s="187"/>
    </row>
    <row r="445" spans="1:7" s="84" customFormat="1" ht="15">
      <c r="A445" s="190" t="s">
        <v>619</v>
      </c>
      <c r="B445" s="185"/>
      <c r="C445" s="185"/>
      <c r="D445" s="185"/>
      <c r="E445" s="185"/>
      <c r="F445" s="71">
        <v>0</v>
      </c>
      <c r="G445" s="187">
        <v>0</v>
      </c>
    </row>
    <row r="446" spans="1:7" ht="15.75">
      <c r="A446" s="179" t="s">
        <v>907</v>
      </c>
      <c r="B446" s="180"/>
      <c r="C446" s="180"/>
      <c r="D446" s="180"/>
      <c r="E446" s="293">
        <f>F446-'B 01-DN CD KETOAN '!D87</f>
        <v>0</v>
      </c>
      <c r="F446" s="59">
        <f>F439+F443</f>
        <v>34758155155</v>
      </c>
      <c r="G446" s="181">
        <f>G439+G443</f>
        <v>34758155155</v>
      </c>
    </row>
    <row r="447" ht="17.25" hidden="1"/>
    <row r="448" ht="17.25" hidden="1">
      <c r="A448" s="12" t="s">
        <v>63</v>
      </c>
    </row>
    <row r="449" spans="1:7" ht="17.25" hidden="1">
      <c r="A449" s="404" t="s">
        <v>72</v>
      </c>
      <c r="B449" s="401" t="s">
        <v>903</v>
      </c>
      <c r="C449" s="402"/>
      <c r="D449" s="403"/>
      <c r="E449" s="401" t="s">
        <v>904</v>
      </c>
      <c r="F449" s="402"/>
      <c r="G449" s="403"/>
    </row>
    <row r="450" spans="1:7" ht="17.25" hidden="1">
      <c r="A450" s="405"/>
      <c r="B450" s="151" t="s">
        <v>64</v>
      </c>
      <c r="C450" s="151" t="s">
        <v>67</v>
      </c>
      <c r="D450" s="151" t="s">
        <v>67</v>
      </c>
      <c r="E450" s="151" t="s">
        <v>64</v>
      </c>
      <c r="F450" s="151" t="s">
        <v>67</v>
      </c>
      <c r="G450" s="151" t="s">
        <v>67</v>
      </c>
    </row>
    <row r="451" spans="1:7" ht="17.25" hidden="1">
      <c r="A451" s="405"/>
      <c r="B451" s="157" t="s">
        <v>65</v>
      </c>
      <c r="C451" s="157" t="s">
        <v>68</v>
      </c>
      <c r="D451" s="157" t="s">
        <v>70</v>
      </c>
      <c r="E451" s="157" t="s">
        <v>65</v>
      </c>
      <c r="F451" s="157" t="s">
        <v>68</v>
      </c>
      <c r="G451" s="157" t="s">
        <v>70</v>
      </c>
    </row>
    <row r="452" spans="1:7" ht="17.25" hidden="1">
      <c r="A452" s="406"/>
      <c r="B452" s="152" t="s">
        <v>66</v>
      </c>
      <c r="C452" s="152" t="s">
        <v>69</v>
      </c>
      <c r="D452" s="152" t="s">
        <v>71</v>
      </c>
      <c r="E452" s="152" t="s">
        <v>66</v>
      </c>
      <c r="F452" s="152" t="s">
        <v>69</v>
      </c>
      <c r="G452" s="152" t="s">
        <v>71</v>
      </c>
    </row>
    <row r="453" spans="1:7" ht="17.25" hidden="1">
      <c r="A453" s="25" t="s">
        <v>73</v>
      </c>
      <c r="B453" s="23"/>
      <c r="C453" s="23"/>
      <c r="D453" s="23"/>
      <c r="E453" s="23"/>
      <c r="F453" s="23"/>
      <c r="G453" s="23"/>
    </row>
    <row r="454" spans="1:7" ht="17.25" hidden="1">
      <c r="A454" s="15" t="s">
        <v>74</v>
      </c>
      <c r="B454" s="8"/>
      <c r="C454" s="8"/>
      <c r="D454" s="8"/>
      <c r="E454" s="8"/>
      <c r="F454" s="8"/>
      <c r="G454" s="8"/>
    </row>
    <row r="455" spans="1:7" ht="17.25" hidden="1">
      <c r="A455" s="15" t="s">
        <v>75</v>
      </c>
      <c r="B455" s="8"/>
      <c r="C455" s="8"/>
      <c r="D455" s="8"/>
      <c r="E455" s="8"/>
      <c r="F455" s="8"/>
      <c r="G455" s="8"/>
    </row>
    <row r="456" spans="1:7" ht="17.25" hidden="1">
      <c r="A456" s="16"/>
      <c r="B456" s="17"/>
      <c r="C456" s="17"/>
      <c r="D456" s="17"/>
      <c r="E456" s="17"/>
      <c r="F456" s="17"/>
      <c r="G456" s="17"/>
    </row>
    <row r="457" ht="17.25" hidden="1"/>
    <row r="458" spans="1:7" ht="15.75">
      <c r="A458" s="6" t="s">
        <v>373</v>
      </c>
      <c r="F458" s="140"/>
      <c r="G458" s="140"/>
    </row>
    <row r="459" spans="1:7" ht="18" hidden="1">
      <c r="A459" s="12" t="s">
        <v>76</v>
      </c>
      <c r="F459" s="140" t="s">
        <v>827</v>
      </c>
      <c r="G459" s="140" t="s">
        <v>828</v>
      </c>
    </row>
    <row r="460" ht="17.25" hidden="1">
      <c r="A460" s="12" t="s">
        <v>77</v>
      </c>
    </row>
    <row r="461" ht="17.25" hidden="1">
      <c r="A461" s="12" t="s">
        <v>175</v>
      </c>
    </row>
    <row r="462" ht="17.25" hidden="1">
      <c r="A462" s="12" t="s">
        <v>78</v>
      </c>
    </row>
    <row r="463" ht="17.25" hidden="1">
      <c r="A463" s="12" t="s">
        <v>703</v>
      </c>
    </row>
    <row r="464" ht="17.25" hidden="1"/>
    <row r="465" spans="1:7" ht="18" hidden="1">
      <c r="A465" s="12" t="s">
        <v>369</v>
      </c>
      <c r="F465" s="140" t="s">
        <v>827</v>
      </c>
      <c r="G465" s="140" t="s">
        <v>828</v>
      </c>
    </row>
    <row r="466" ht="17.25" hidden="1">
      <c r="A466" s="12" t="s">
        <v>370</v>
      </c>
    </row>
    <row r="467" ht="17.25" hidden="1">
      <c r="A467" s="12" t="s">
        <v>371</v>
      </c>
    </row>
    <row r="468" ht="17.25" hidden="1">
      <c r="A468" s="12" t="s">
        <v>372</v>
      </c>
    </row>
    <row r="469" ht="17.25" hidden="1"/>
    <row r="470" ht="15"/>
    <row r="471" ht="15"/>
    <row r="472" ht="15.75">
      <c r="A472" s="6" t="s">
        <v>374</v>
      </c>
    </row>
    <row r="473" ht="15">
      <c r="A473" s="12" t="s">
        <v>375</v>
      </c>
    </row>
    <row r="474" spans="1:7" ht="21" customHeight="1">
      <c r="A474" s="158"/>
      <c r="B474" s="151" t="s">
        <v>376</v>
      </c>
      <c r="C474" s="151" t="s">
        <v>198</v>
      </c>
      <c r="D474" s="151" t="s">
        <v>200</v>
      </c>
      <c r="E474" s="151" t="s">
        <v>1103</v>
      </c>
      <c r="F474" s="151" t="s">
        <v>202</v>
      </c>
      <c r="G474" s="411" t="s">
        <v>636</v>
      </c>
    </row>
    <row r="475" spans="1:7" ht="21" customHeight="1">
      <c r="A475" s="118"/>
      <c r="B475" s="152" t="s">
        <v>377</v>
      </c>
      <c r="C475" s="152" t="s">
        <v>199</v>
      </c>
      <c r="D475" s="152" t="s">
        <v>201</v>
      </c>
      <c r="E475" s="152" t="s">
        <v>1104</v>
      </c>
      <c r="F475" s="152" t="s">
        <v>203</v>
      </c>
      <c r="G475" s="394"/>
    </row>
    <row r="476" spans="1:7" ht="21" customHeight="1">
      <c r="A476" s="3" t="s">
        <v>1043</v>
      </c>
      <c r="B476" s="23">
        <v>300000000000</v>
      </c>
      <c r="C476" s="23">
        <v>93447585165</v>
      </c>
      <c r="D476" s="23">
        <v>15911903587</v>
      </c>
      <c r="E476" s="23">
        <v>0</v>
      </c>
      <c r="F476" s="23">
        <v>69481749760</v>
      </c>
      <c r="G476" s="5">
        <f>SUM(B476:F476)</f>
        <v>478841238512</v>
      </c>
    </row>
    <row r="477" spans="1:7" ht="21" customHeight="1">
      <c r="A477" s="15" t="s">
        <v>1105</v>
      </c>
      <c r="B477" s="8">
        <v>0</v>
      </c>
      <c r="C477" s="8">
        <v>71979141400</v>
      </c>
      <c r="D477" s="8">
        <v>6789623893</v>
      </c>
      <c r="E477" s="8">
        <v>2745801098</v>
      </c>
      <c r="F477" s="8">
        <v>153289869498</v>
      </c>
      <c r="G477" s="5">
        <f>SUM(B477:F477)</f>
        <v>234804435889</v>
      </c>
    </row>
    <row r="478" spans="1:7" ht="21" customHeight="1">
      <c r="A478" s="15" t="s">
        <v>1106</v>
      </c>
      <c r="B478" s="8">
        <v>0</v>
      </c>
      <c r="C478" s="8">
        <v>0</v>
      </c>
      <c r="D478" s="8">
        <v>0</v>
      </c>
      <c r="E478" s="8">
        <v>0</v>
      </c>
      <c r="F478" s="86">
        <v>-107348013079</v>
      </c>
      <c r="G478" s="139">
        <f>SUM(B478:F478)</f>
        <v>-107348013079</v>
      </c>
    </row>
    <row r="479" spans="1:7" ht="21" customHeight="1" hidden="1">
      <c r="A479" s="15" t="s">
        <v>133</v>
      </c>
      <c r="B479" s="8"/>
      <c r="C479" s="8"/>
      <c r="D479" s="8"/>
      <c r="E479" s="8"/>
      <c r="F479" s="8"/>
      <c r="G479" s="5"/>
    </row>
    <row r="480" spans="1:7" ht="21" customHeight="1" hidden="1">
      <c r="A480" s="15" t="s">
        <v>671</v>
      </c>
      <c r="B480" s="8"/>
      <c r="C480" s="8"/>
      <c r="D480" s="8"/>
      <c r="E480" s="8"/>
      <c r="F480" s="8"/>
      <c r="G480" s="5"/>
    </row>
    <row r="481" spans="1:7" ht="21" customHeight="1">
      <c r="A481" s="2" t="s">
        <v>99</v>
      </c>
      <c r="B481" s="8">
        <f>B476+B477-B478</f>
        <v>300000000000</v>
      </c>
      <c r="C481" s="8">
        <f>C476+C477-C478</f>
        <v>165426726565</v>
      </c>
      <c r="D481" s="8">
        <f>D476+D477-D478</f>
        <v>22701527480</v>
      </c>
      <c r="E481" s="8">
        <f>E476+E477-E478</f>
        <v>2745801098</v>
      </c>
      <c r="F481" s="8">
        <f>F476+F477+F478</f>
        <v>115423606179</v>
      </c>
      <c r="G481" s="5">
        <f>G476+G477+G478</f>
        <v>606297661322</v>
      </c>
    </row>
    <row r="482" spans="1:7" ht="21" customHeight="1" hidden="1">
      <c r="A482" s="2"/>
      <c r="B482" s="8"/>
      <c r="C482" s="8"/>
      <c r="D482" s="8"/>
      <c r="E482" s="8"/>
      <c r="F482" s="8"/>
      <c r="G482" s="5"/>
    </row>
    <row r="483" spans="1:7" ht="21" customHeight="1">
      <c r="A483" s="2"/>
      <c r="B483" s="8"/>
      <c r="C483" s="8"/>
      <c r="D483" s="8"/>
      <c r="E483" s="8"/>
      <c r="F483" s="8"/>
      <c r="G483" s="5"/>
    </row>
    <row r="484" spans="1:7" ht="21" customHeight="1">
      <c r="A484" s="2" t="s">
        <v>100</v>
      </c>
      <c r="B484" s="8">
        <f>B481</f>
        <v>300000000000</v>
      </c>
      <c r="C484" s="8">
        <f>C481</f>
        <v>165426726565</v>
      </c>
      <c r="D484" s="8">
        <f>D481</f>
        <v>22701527480</v>
      </c>
      <c r="E484" s="8">
        <f>E481</f>
        <v>2745801098</v>
      </c>
      <c r="F484" s="8">
        <f>F481</f>
        <v>115423606179</v>
      </c>
      <c r="G484" s="5">
        <f>SUM(B484:F484)</f>
        <v>606297661322</v>
      </c>
    </row>
    <row r="485" spans="1:7" ht="21" customHeight="1">
      <c r="A485" s="15" t="s">
        <v>1107</v>
      </c>
      <c r="B485" s="8">
        <v>0</v>
      </c>
      <c r="C485" s="8">
        <v>55423606179</v>
      </c>
      <c r="D485" s="8">
        <v>0</v>
      </c>
      <c r="E485" s="8">
        <v>83434587</v>
      </c>
      <c r="F485" s="8">
        <f>'BIEU 02-Bang CDSPS '!J233</f>
        <v>146492619020</v>
      </c>
      <c r="G485" s="5">
        <f>SUM(B485:F485)</f>
        <v>201999659786</v>
      </c>
    </row>
    <row r="486" spans="1:7" ht="21" customHeight="1">
      <c r="A486" s="15" t="s">
        <v>1108</v>
      </c>
      <c r="B486" s="8">
        <v>0</v>
      </c>
      <c r="C486" s="8">
        <f>'BIEU 02-Bang CDSPS '!H225</f>
        <v>0</v>
      </c>
      <c r="D486" s="8">
        <f>'BIEU 02-Bang CDSPS '!H227</f>
        <v>0</v>
      </c>
      <c r="E486" s="86">
        <v>-2829235685</v>
      </c>
      <c r="F486" s="86">
        <f>-'BIEU 02-Bang CDSPS '!H233</f>
        <v>-115423606179</v>
      </c>
      <c r="G486" s="139">
        <f>SUM(B486:F486)</f>
        <v>-118252841864</v>
      </c>
    </row>
    <row r="487" spans="1:7" ht="21" customHeight="1" hidden="1">
      <c r="A487" s="15" t="s">
        <v>134</v>
      </c>
      <c r="B487" s="8"/>
      <c r="C487" s="8"/>
      <c r="D487" s="8"/>
      <c r="E487" s="8"/>
      <c r="F487" s="8"/>
      <c r="G487" s="5"/>
    </row>
    <row r="488" spans="1:7" ht="21" customHeight="1" hidden="1">
      <c r="A488" s="15" t="s">
        <v>671</v>
      </c>
      <c r="B488" s="8"/>
      <c r="C488" s="8"/>
      <c r="D488" s="8"/>
      <c r="E488" s="8"/>
      <c r="F488" s="8"/>
      <c r="G488" s="5"/>
    </row>
    <row r="489" spans="1:7" ht="21" customHeight="1">
      <c r="A489" s="2" t="s">
        <v>1044</v>
      </c>
      <c r="B489" s="8">
        <f>B484+B485-B486</f>
        <v>300000000000</v>
      </c>
      <c r="C489" s="8">
        <f>C484+C485-C486</f>
        <v>220850332744</v>
      </c>
      <c r="D489" s="8">
        <f>D484+D485-D486</f>
        <v>22701527480</v>
      </c>
      <c r="E489" s="8">
        <f>E484+E485+E486</f>
        <v>0</v>
      </c>
      <c r="F489" s="8">
        <f>F484+F485+F486</f>
        <v>146492619020</v>
      </c>
      <c r="G489" s="5">
        <f>G484+G485+G486</f>
        <v>690044479244</v>
      </c>
    </row>
    <row r="490" spans="1:7" ht="21" customHeight="1">
      <c r="A490" s="16"/>
      <c r="B490" s="17"/>
      <c r="C490" s="17"/>
      <c r="D490" s="17"/>
      <c r="E490" s="17"/>
      <c r="F490" s="17"/>
      <c r="G490" s="294"/>
    </row>
    <row r="491" spans="1:7" ht="21" customHeight="1" hidden="1">
      <c r="A491" s="290"/>
      <c r="B491" s="291"/>
      <c r="C491" s="291"/>
      <c r="D491" s="291"/>
      <c r="E491" s="291"/>
      <c r="F491" s="308"/>
      <c r="G491" s="291"/>
    </row>
    <row r="492" spans="1:7" ht="15.75">
      <c r="A492" s="37" t="s">
        <v>401</v>
      </c>
      <c r="B492" s="171"/>
      <c r="C492" s="171"/>
      <c r="D492" s="171"/>
      <c r="E492" s="171"/>
      <c r="F492" s="246" t="s">
        <v>615</v>
      </c>
      <c r="G492" s="221" t="s">
        <v>278</v>
      </c>
    </row>
    <row r="493" spans="1:7" ht="15">
      <c r="A493" s="20" t="s">
        <v>402</v>
      </c>
      <c r="B493" s="173"/>
      <c r="C493" s="173"/>
      <c r="D493" s="173"/>
      <c r="E493" s="173"/>
      <c r="F493" s="8">
        <v>180000000000</v>
      </c>
      <c r="G493" s="174">
        <v>180000000000</v>
      </c>
    </row>
    <row r="494" spans="1:7" ht="15">
      <c r="A494" s="20" t="s">
        <v>403</v>
      </c>
      <c r="B494" s="173"/>
      <c r="C494" s="173"/>
      <c r="D494" s="173"/>
      <c r="E494" s="173"/>
      <c r="F494" s="8">
        <v>120000000000</v>
      </c>
      <c r="G494" s="174">
        <v>120000000000</v>
      </c>
    </row>
    <row r="495" spans="1:7" ht="15.75">
      <c r="A495" s="175" t="s">
        <v>907</v>
      </c>
      <c r="B495" s="173"/>
      <c r="C495" s="173"/>
      <c r="D495" s="173"/>
      <c r="E495" s="173"/>
      <c r="F495" s="5">
        <f>SUM(F493:F494)</f>
        <v>300000000000</v>
      </c>
      <c r="G495" s="176">
        <f>SUM(G493:G494)</f>
        <v>300000000000</v>
      </c>
    </row>
    <row r="496" spans="1:7" ht="15">
      <c r="A496" s="29"/>
      <c r="B496" s="180"/>
      <c r="C496" s="180"/>
      <c r="D496" s="180"/>
      <c r="E496" s="180"/>
      <c r="F496" s="17"/>
      <c r="G496" s="197"/>
    </row>
    <row r="497" ht="17.25" hidden="1">
      <c r="A497" s="12" t="s">
        <v>1045</v>
      </c>
    </row>
    <row r="498" ht="17.25" hidden="1">
      <c r="A498" s="12" t="s">
        <v>404</v>
      </c>
    </row>
    <row r="499" ht="15"/>
    <row r="500" ht="15"/>
    <row r="501" spans="1:7" ht="15.75">
      <c r="A501" s="37" t="s">
        <v>379</v>
      </c>
      <c r="B501" s="171"/>
      <c r="C501" s="171"/>
      <c r="D501" s="171"/>
      <c r="E501" s="171"/>
      <c r="F501" s="182" t="s">
        <v>903</v>
      </c>
      <c r="G501" s="172" t="s">
        <v>904</v>
      </c>
    </row>
    <row r="502" spans="1:7" ht="15">
      <c r="A502" s="20" t="s">
        <v>1046</v>
      </c>
      <c r="B502" s="173"/>
      <c r="C502" s="173"/>
      <c r="D502" s="173"/>
      <c r="E502" s="173"/>
      <c r="F502" s="69"/>
      <c r="G502" s="174"/>
    </row>
    <row r="503" spans="1:7" ht="15">
      <c r="A503" s="20" t="s">
        <v>1047</v>
      </c>
      <c r="B503" s="173"/>
      <c r="C503" s="173"/>
      <c r="D503" s="173"/>
      <c r="E503" s="173"/>
      <c r="F503" s="8">
        <v>300000000000</v>
      </c>
      <c r="G503" s="69">
        <v>300000000000</v>
      </c>
    </row>
    <row r="504" spans="1:7" ht="17.25" hidden="1">
      <c r="A504" s="20" t="s">
        <v>1048</v>
      </c>
      <c r="B504" s="173"/>
      <c r="C504" s="173"/>
      <c r="D504" s="173"/>
      <c r="E504" s="173"/>
      <c r="F504" s="8"/>
      <c r="G504" s="174"/>
    </row>
    <row r="505" spans="1:7" ht="17.25" hidden="1">
      <c r="A505" s="20" t="s">
        <v>1049</v>
      </c>
      <c r="B505" s="173"/>
      <c r="C505" s="173"/>
      <c r="D505" s="173"/>
      <c r="E505" s="173"/>
      <c r="F505" s="8"/>
      <c r="G505" s="174"/>
    </row>
    <row r="506" spans="1:7" ht="15">
      <c r="A506" s="20" t="s">
        <v>1050</v>
      </c>
      <c r="B506" s="173"/>
      <c r="C506" s="173"/>
      <c r="D506" s="173"/>
      <c r="E506" s="173"/>
      <c r="F506" s="8">
        <f>F503+F504-F505</f>
        <v>300000000000</v>
      </c>
      <c r="G506" s="69">
        <f>G503+G504-G505</f>
        <v>300000000000</v>
      </c>
    </row>
    <row r="507" spans="1:7" ht="17.25" hidden="1">
      <c r="A507" s="20" t="s">
        <v>1051</v>
      </c>
      <c r="B507" s="173"/>
      <c r="C507" s="173"/>
      <c r="D507" s="173"/>
      <c r="E507" s="173"/>
      <c r="F507" s="8"/>
      <c r="G507" s="43"/>
    </row>
    <row r="508" spans="1:7" ht="17.25" hidden="1">
      <c r="A508" s="20"/>
      <c r="B508" s="173"/>
      <c r="C508" s="173"/>
      <c r="D508" s="173"/>
      <c r="E508" s="173"/>
      <c r="F508" s="8"/>
      <c r="G508" s="43"/>
    </row>
    <row r="509" spans="1:7" ht="17.25" hidden="1">
      <c r="A509" s="20" t="s">
        <v>380</v>
      </c>
      <c r="B509" s="173"/>
      <c r="C509" s="173"/>
      <c r="D509" s="173"/>
      <c r="E509" s="173"/>
      <c r="F509" s="8"/>
      <c r="G509" s="43"/>
    </row>
    <row r="510" spans="1:7" ht="17.25" hidden="1">
      <c r="A510" s="20" t="s">
        <v>381</v>
      </c>
      <c r="B510" s="173"/>
      <c r="C510" s="173"/>
      <c r="D510" s="173"/>
      <c r="E510" s="173"/>
      <c r="F510" s="8"/>
      <c r="G510" s="43"/>
    </row>
    <row r="511" spans="1:7" ht="17.25" hidden="1">
      <c r="A511" s="20" t="s">
        <v>382</v>
      </c>
      <c r="B511" s="173"/>
      <c r="C511" s="173"/>
      <c r="D511" s="173"/>
      <c r="E511" s="173"/>
      <c r="F511" s="8"/>
      <c r="G511" s="43"/>
    </row>
    <row r="512" spans="1:7" ht="17.25" hidden="1">
      <c r="A512" s="20" t="s">
        <v>1000</v>
      </c>
      <c r="B512" s="173"/>
      <c r="C512" s="173"/>
      <c r="D512" s="173"/>
      <c r="E512" s="173"/>
      <c r="F512" s="8"/>
      <c r="G512" s="43"/>
    </row>
    <row r="513" spans="1:7" ht="17.25" hidden="1">
      <c r="A513" s="20" t="s">
        <v>1013</v>
      </c>
      <c r="B513" s="173"/>
      <c r="C513" s="173"/>
      <c r="D513" s="173"/>
      <c r="E513" s="173"/>
      <c r="F513" s="8"/>
      <c r="G513" s="43"/>
    </row>
    <row r="514" spans="1:7" ht="18" hidden="1">
      <c r="A514" s="20" t="s">
        <v>383</v>
      </c>
      <c r="B514" s="173"/>
      <c r="C514" s="173"/>
      <c r="D514" s="173"/>
      <c r="E514" s="173"/>
      <c r="F514" s="199" t="s">
        <v>1077</v>
      </c>
      <c r="G514" s="198" t="s">
        <v>1079</v>
      </c>
    </row>
    <row r="515" spans="1:7" ht="17.25" hidden="1">
      <c r="A515" s="20" t="s">
        <v>1014</v>
      </c>
      <c r="B515" s="173"/>
      <c r="C515" s="173"/>
      <c r="D515" s="173"/>
      <c r="E515" s="173"/>
      <c r="F515" s="8">
        <v>30000000</v>
      </c>
      <c r="G515" s="8">
        <v>30000000</v>
      </c>
    </row>
    <row r="516" spans="1:7" ht="17.25" hidden="1">
      <c r="A516" s="20" t="s">
        <v>384</v>
      </c>
      <c r="B516" s="173"/>
      <c r="C516" s="173"/>
      <c r="D516" s="173"/>
      <c r="E516" s="173"/>
      <c r="F516" s="8">
        <f>SUM(F517:F518)</f>
        <v>30000000</v>
      </c>
      <c r="G516" s="8">
        <f>SUM(G517:G518)</f>
        <v>30000000</v>
      </c>
    </row>
    <row r="517" spans="1:7" s="84" customFormat="1" ht="16.5" hidden="1">
      <c r="A517" s="190" t="s">
        <v>385</v>
      </c>
      <c r="B517" s="185"/>
      <c r="C517" s="185"/>
      <c r="D517" s="185"/>
      <c r="E517" s="185"/>
      <c r="F517" s="9">
        <v>30000000</v>
      </c>
      <c r="G517" s="9">
        <v>30000000</v>
      </c>
    </row>
    <row r="518" spans="1:7" s="84" customFormat="1" ht="16.5" hidden="1">
      <c r="A518" s="190" t="s">
        <v>1015</v>
      </c>
      <c r="B518" s="185"/>
      <c r="C518" s="185"/>
      <c r="D518" s="185"/>
      <c r="E518" s="185"/>
      <c r="F518" s="9"/>
      <c r="G518" s="191"/>
    </row>
    <row r="519" spans="1:7" ht="17.25" hidden="1">
      <c r="A519" s="20" t="s">
        <v>1016</v>
      </c>
      <c r="B519" s="173"/>
      <c r="C519" s="173"/>
      <c r="D519" s="173"/>
      <c r="E519" s="173"/>
      <c r="F519" s="8"/>
      <c r="G519" s="43"/>
    </row>
    <row r="520" spans="1:7" s="84" customFormat="1" ht="16.5" hidden="1">
      <c r="A520" s="190" t="s">
        <v>385</v>
      </c>
      <c r="B520" s="185"/>
      <c r="C520" s="185"/>
      <c r="D520" s="185"/>
      <c r="E520" s="185"/>
      <c r="F520" s="9"/>
      <c r="G520" s="191"/>
    </row>
    <row r="521" spans="1:7" s="84" customFormat="1" ht="16.5" hidden="1">
      <c r="A521" s="190" t="s">
        <v>1015</v>
      </c>
      <c r="B521" s="185"/>
      <c r="C521" s="185"/>
      <c r="D521" s="185"/>
      <c r="E521" s="185"/>
      <c r="F521" s="9"/>
      <c r="G521" s="191"/>
    </row>
    <row r="522" spans="1:7" ht="17.25" hidden="1">
      <c r="A522" s="20" t="s">
        <v>1017</v>
      </c>
      <c r="B522" s="173"/>
      <c r="C522" s="173"/>
      <c r="D522" s="173"/>
      <c r="E522" s="173"/>
      <c r="F522" s="8">
        <f>SUM(F523:F524)</f>
        <v>30000000</v>
      </c>
      <c r="G522" s="8">
        <f>SUM(G523:G524)</f>
        <v>30000000</v>
      </c>
    </row>
    <row r="523" spans="1:7" s="84" customFormat="1" ht="16.5" hidden="1">
      <c r="A523" s="190" t="s">
        <v>385</v>
      </c>
      <c r="B523" s="185"/>
      <c r="C523" s="185"/>
      <c r="D523" s="185"/>
      <c r="E523" s="185"/>
      <c r="F523" s="9">
        <f>F517</f>
        <v>30000000</v>
      </c>
      <c r="G523" s="9">
        <f>G517</f>
        <v>30000000</v>
      </c>
    </row>
    <row r="524" spans="1:7" s="84" customFormat="1" ht="16.5" hidden="1">
      <c r="A524" s="190" t="s">
        <v>1015</v>
      </c>
      <c r="B524" s="185"/>
      <c r="C524" s="185"/>
      <c r="D524" s="185"/>
      <c r="E524" s="185"/>
      <c r="F524" s="9"/>
      <c r="G524" s="191"/>
    </row>
    <row r="525" spans="1:7" ht="17.25" hidden="1">
      <c r="A525" s="20"/>
      <c r="B525" s="173"/>
      <c r="C525" s="173"/>
      <c r="D525" s="173"/>
      <c r="E525" s="173"/>
      <c r="F525" s="8"/>
      <c r="G525" s="43"/>
    </row>
    <row r="526" spans="1:7" ht="17.25" hidden="1">
      <c r="A526" s="20" t="s">
        <v>386</v>
      </c>
      <c r="B526" s="173"/>
      <c r="C526" s="173"/>
      <c r="D526" s="173"/>
      <c r="E526" s="173"/>
      <c r="F526" s="8"/>
      <c r="G526" s="43"/>
    </row>
    <row r="527" spans="1:7" ht="17.25" hidden="1">
      <c r="A527" s="20"/>
      <c r="B527" s="173"/>
      <c r="C527" s="173"/>
      <c r="D527" s="173"/>
      <c r="E527" s="173"/>
      <c r="F527" s="8"/>
      <c r="G527" s="43"/>
    </row>
    <row r="528" spans="1:7" ht="18" hidden="1">
      <c r="A528" s="20" t="s">
        <v>387</v>
      </c>
      <c r="B528" s="173"/>
      <c r="C528" s="173"/>
      <c r="D528" s="173"/>
      <c r="E528" s="173"/>
      <c r="F528" s="199" t="s">
        <v>1087</v>
      </c>
      <c r="G528" s="199" t="s">
        <v>521</v>
      </c>
    </row>
    <row r="529" spans="1:7" ht="17.25" hidden="1">
      <c r="A529" s="20" t="s">
        <v>388</v>
      </c>
      <c r="B529" s="173"/>
      <c r="C529" s="173"/>
      <c r="D529" s="173"/>
      <c r="E529" s="173"/>
      <c r="F529" s="8">
        <f>'BIEU 02-Bang CDSPS '!N225</f>
        <v>220850332744</v>
      </c>
      <c r="G529" s="174">
        <f>'BIEU 02-Bang CDSPS '!F225</f>
        <v>165426726565</v>
      </c>
    </row>
    <row r="530" spans="1:7" ht="17.25" hidden="1">
      <c r="A530" s="20" t="s">
        <v>15</v>
      </c>
      <c r="B530" s="173"/>
      <c r="C530" s="173"/>
      <c r="D530" s="173"/>
      <c r="E530" s="173"/>
      <c r="F530" s="8">
        <f>'BIEU 02-Bang CDSPS '!N227</f>
        <v>22701527480</v>
      </c>
      <c r="G530" s="174">
        <f>'BIEU 02-Bang CDSPS '!F227</f>
        <v>22701527480</v>
      </c>
    </row>
    <row r="531" spans="1:7" ht="17.25" hidden="1">
      <c r="A531" s="20" t="s">
        <v>389</v>
      </c>
      <c r="B531" s="173"/>
      <c r="C531" s="173"/>
      <c r="D531" s="173"/>
      <c r="E531" s="173"/>
      <c r="F531" s="8">
        <f>'BIEU 02-Bang CDSPS '!N229</f>
        <v>0</v>
      </c>
      <c r="G531" s="174">
        <f>'BIEU 02-Bang CDSPS '!F229</f>
        <v>0</v>
      </c>
    </row>
    <row r="532" spans="1:7" ht="17.25" hidden="1">
      <c r="A532" s="20"/>
      <c r="B532" s="173"/>
      <c r="C532" s="173"/>
      <c r="D532" s="173"/>
      <c r="E532" s="173"/>
      <c r="F532" s="8"/>
      <c r="G532" s="43"/>
    </row>
    <row r="533" spans="1:7" ht="18" hidden="1">
      <c r="A533" s="27" t="s">
        <v>390</v>
      </c>
      <c r="B533" s="173"/>
      <c r="C533" s="173"/>
      <c r="D533" s="173"/>
      <c r="E533" s="173"/>
      <c r="F533" s="199" t="s">
        <v>903</v>
      </c>
      <c r="G533" s="177" t="s">
        <v>904</v>
      </c>
    </row>
    <row r="534" spans="1:7" ht="17.25" hidden="1">
      <c r="A534" s="20" t="s">
        <v>1019</v>
      </c>
      <c r="B534" s="173"/>
      <c r="C534" s="173"/>
      <c r="D534" s="173"/>
      <c r="E534" s="173"/>
      <c r="F534" s="8">
        <f>'BIEU 02-Bang CDSPS '!J237</f>
        <v>0</v>
      </c>
      <c r="G534" s="174">
        <v>1370999217</v>
      </c>
    </row>
    <row r="535" spans="1:7" ht="17.25" hidden="1">
      <c r="A535" s="20" t="s">
        <v>1020</v>
      </c>
      <c r="B535" s="173"/>
      <c r="C535" s="173"/>
      <c r="D535" s="173"/>
      <c r="E535" s="173"/>
      <c r="F535" s="8">
        <f>'BIEU 02-Bang CDSPS '!H237</f>
        <v>0</v>
      </c>
      <c r="G535" s="174">
        <v>1261126338</v>
      </c>
    </row>
    <row r="536" spans="1:7" ht="17.25" hidden="1">
      <c r="A536" s="20" t="s">
        <v>1021</v>
      </c>
      <c r="B536" s="173"/>
      <c r="C536" s="173"/>
      <c r="D536" s="173"/>
      <c r="E536" s="173"/>
      <c r="F536" s="8">
        <f>G536+F534-F535</f>
        <v>212277484</v>
      </c>
      <c r="G536" s="174">
        <f>102404605+G534-G535</f>
        <v>212277484</v>
      </c>
    </row>
    <row r="537" spans="1:7" ht="17.25" hidden="1">
      <c r="A537" s="20"/>
      <c r="B537" s="173"/>
      <c r="C537" s="173"/>
      <c r="D537" s="173"/>
      <c r="E537" s="173"/>
      <c r="F537" s="8"/>
      <c r="G537" s="43"/>
    </row>
    <row r="538" spans="1:7" ht="18" hidden="1">
      <c r="A538" s="27" t="s">
        <v>391</v>
      </c>
      <c r="B538" s="173"/>
      <c r="C538" s="173"/>
      <c r="D538" s="173"/>
      <c r="E538" s="173"/>
      <c r="F538" s="199" t="s">
        <v>1087</v>
      </c>
      <c r="G538" s="199" t="s">
        <v>521</v>
      </c>
    </row>
    <row r="539" spans="1:7" ht="17.25" hidden="1">
      <c r="A539" s="20" t="s">
        <v>392</v>
      </c>
      <c r="B539" s="173"/>
      <c r="C539" s="173"/>
      <c r="D539" s="173"/>
      <c r="E539" s="173"/>
      <c r="F539" s="8"/>
      <c r="G539" s="174"/>
    </row>
    <row r="540" spans="1:7" ht="17.25" hidden="1">
      <c r="A540" s="20" t="s">
        <v>1022</v>
      </c>
      <c r="B540" s="173"/>
      <c r="C540" s="173"/>
      <c r="D540" s="173"/>
      <c r="E540" s="173"/>
      <c r="F540" s="8"/>
      <c r="G540" s="174"/>
    </row>
    <row r="541" spans="1:7" ht="17.25" hidden="1">
      <c r="A541" s="20" t="s">
        <v>1023</v>
      </c>
      <c r="B541" s="173"/>
      <c r="C541" s="173"/>
      <c r="D541" s="173"/>
      <c r="E541" s="173"/>
      <c r="F541" s="8"/>
      <c r="G541" s="174"/>
    </row>
    <row r="542" spans="1:7" ht="17.25" hidden="1">
      <c r="A542" s="20" t="s">
        <v>393</v>
      </c>
      <c r="B542" s="173"/>
      <c r="C542" s="173"/>
      <c r="D542" s="173"/>
      <c r="E542" s="173"/>
      <c r="F542" s="8"/>
      <c r="G542" s="174"/>
    </row>
    <row r="543" spans="1:7" ht="17.25" hidden="1">
      <c r="A543" s="20" t="s">
        <v>394</v>
      </c>
      <c r="B543" s="173"/>
      <c r="C543" s="173"/>
      <c r="D543" s="173"/>
      <c r="E543" s="173"/>
      <c r="F543" s="8"/>
      <c r="G543" s="174"/>
    </row>
    <row r="544" spans="1:7" ht="17.25" hidden="1">
      <c r="A544" s="20" t="s">
        <v>395</v>
      </c>
      <c r="B544" s="173"/>
      <c r="C544" s="173"/>
      <c r="D544" s="173"/>
      <c r="E544" s="173"/>
      <c r="F544" s="8"/>
      <c r="G544" s="174"/>
    </row>
    <row r="545" spans="1:7" ht="17.25" hidden="1">
      <c r="A545" s="20" t="s">
        <v>1024</v>
      </c>
      <c r="B545" s="173"/>
      <c r="C545" s="173"/>
      <c r="D545" s="173"/>
      <c r="E545" s="173"/>
      <c r="F545" s="8"/>
      <c r="G545" s="174"/>
    </row>
    <row r="546" spans="1:7" ht="17.25" hidden="1">
      <c r="A546" s="20"/>
      <c r="B546" s="173"/>
      <c r="C546" s="173"/>
      <c r="D546" s="173"/>
      <c r="E546" s="173"/>
      <c r="F546" s="8"/>
      <c r="G546" s="174"/>
    </row>
    <row r="547" spans="1:7" ht="15.75">
      <c r="A547" s="27" t="s">
        <v>184</v>
      </c>
      <c r="B547" s="173"/>
      <c r="C547" s="173"/>
      <c r="D547" s="173"/>
      <c r="E547" s="173"/>
      <c r="F547" s="8"/>
      <c r="G547" s="174"/>
    </row>
    <row r="548" spans="1:7" ht="15.75">
      <c r="A548" s="27"/>
      <c r="B548" s="173"/>
      <c r="C548" s="173"/>
      <c r="D548" s="173"/>
      <c r="E548" s="173"/>
      <c r="F548" s="199" t="s">
        <v>903</v>
      </c>
      <c r="G548" s="177" t="s">
        <v>904</v>
      </c>
    </row>
    <row r="549" spans="1:7" ht="15.75">
      <c r="A549" s="27" t="s">
        <v>396</v>
      </c>
      <c r="B549" s="173"/>
      <c r="C549" s="173"/>
      <c r="D549" s="173"/>
      <c r="E549" s="292">
        <f>F549-'BIEU 11-BANGTIEUTHU (R) '!L8</f>
        <v>0</v>
      </c>
      <c r="F549" s="5">
        <f>SUM(F550:F556)</f>
        <v>446351658018</v>
      </c>
      <c r="G549" s="176">
        <f>SUM(G550:G556)</f>
        <v>250839591203</v>
      </c>
    </row>
    <row r="550" spans="1:7" ht="15.75">
      <c r="A550" s="27" t="s">
        <v>136</v>
      </c>
      <c r="B550" s="173"/>
      <c r="C550" s="173"/>
      <c r="D550" s="173"/>
      <c r="E550" s="173"/>
      <c r="F550" s="8"/>
      <c r="G550" s="174"/>
    </row>
    <row r="551" spans="1:7" ht="15">
      <c r="A551" s="20" t="s">
        <v>204</v>
      </c>
      <c r="B551" s="173"/>
      <c r="C551" s="173"/>
      <c r="D551" s="173"/>
      <c r="E551" s="173"/>
      <c r="F551" s="8">
        <f>'BIEU 11-BANGTIEUTHU (R) '!L28+'BIEU 11-BANGTIEUTHU (R) '!L30</f>
        <v>10458336414</v>
      </c>
      <c r="G551" s="69">
        <f>'BIEU 11-BANGTIEUTHU (R) '!P28+'BIEU 11-BANGTIEUTHU (R) '!P30</f>
        <v>6687492384</v>
      </c>
    </row>
    <row r="552" spans="1:7" s="84" customFormat="1" ht="15">
      <c r="A552" s="20" t="s">
        <v>205</v>
      </c>
      <c r="B552" s="185"/>
      <c r="C552" s="185"/>
      <c r="D552" s="185"/>
      <c r="E552" s="185"/>
      <c r="F552" s="8">
        <f>'BIEU 11-BANGTIEUTHU (R) '!L8-F553-F554-F551</f>
        <v>429537581753</v>
      </c>
      <c r="G552" s="69">
        <f>'BIEU 11-BANGTIEUTHU (R) '!P8-G553-G554-G551</f>
        <v>237818436294</v>
      </c>
    </row>
    <row r="553" spans="1:7" s="84" customFormat="1" ht="15">
      <c r="A553" s="20" t="s">
        <v>206</v>
      </c>
      <c r="B553" s="185"/>
      <c r="C553" s="185"/>
      <c r="D553" s="185"/>
      <c r="E553" s="185"/>
      <c r="F553" s="8">
        <f>'BIEU 11-BANGTIEUTHU (R) '!L24+'BIEU 11-BANGTIEUTHU (R) '!L27+'BIEU 11-BANGTIEUTHU (R) '!L29</f>
        <v>6355739851</v>
      </c>
      <c r="G553" s="69">
        <f>'BIEU 11-BANGTIEUTHU (R) '!P24+'BIEU 11-BANGTIEUTHU (R) '!P27+'BIEU 11-BANGTIEUTHU (R) '!P29</f>
        <v>6147791162</v>
      </c>
    </row>
    <row r="554" spans="1:7" s="84" customFormat="1" ht="15">
      <c r="A554" s="20" t="s">
        <v>207</v>
      </c>
      <c r="B554" s="185"/>
      <c r="C554" s="185"/>
      <c r="D554" s="185"/>
      <c r="E554" s="185"/>
      <c r="F554" s="8">
        <f>'BIEU 11-BANGTIEUTHU (R) '!L25</f>
        <v>0</v>
      </c>
      <c r="G554" s="69">
        <f>'BIEU 11-BANGTIEUTHU (R) '!P25</f>
        <v>185871363</v>
      </c>
    </row>
    <row r="555" spans="1:7" s="84" customFormat="1" ht="17.25" hidden="1">
      <c r="A555" s="20" t="s">
        <v>397</v>
      </c>
      <c r="B555" s="185"/>
      <c r="C555" s="185"/>
      <c r="D555" s="185"/>
      <c r="E555" s="185"/>
      <c r="F555" s="164"/>
      <c r="G555" s="174"/>
    </row>
    <row r="556" spans="1:7" s="84" customFormat="1" ht="17.25" hidden="1">
      <c r="A556" s="20" t="s">
        <v>1052</v>
      </c>
      <c r="B556" s="185"/>
      <c r="C556" s="185"/>
      <c r="D556" s="185"/>
      <c r="E556" s="185"/>
      <c r="F556" s="164"/>
      <c r="G556" s="174"/>
    </row>
    <row r="557" spans="1:7" s="84" customFormat="1" ht="15">
      <c r="A557" s="20"/>
      <c r="B557" s="185"/>
      <c r="C557" s="185"/>
      <c r="D557" s="185"/>
      <c r="E557" s="185"/>
      <c r="F557" s="164"/>
      <c r="G557" s="174"/>
    </row>
    <row r="558" spans="1:7" ht="15.75">
      <c r="A558" s="27" t="s">
        <v>1059</v>
      </c>
      <c r="B558" s="173"/>
      <c r="C558" s="173"/>
      <c r="D558" s="173"/>
      <c r="E558" s="173"/>
      <c r="F558" s="70">
        <f>SUM(F560:F565)</f>
        <v>0</v>
      </c>
      <c r="G558" s="176">
        <f>SUM(G560:G565)</f>
        <v>0</v>
      </c>
    </row>
    <row r="559" spans="1:7" ht="17.25" hidden="1">
      <c r="A559" s="20" t="s">
        <v>136</v>
      </c>
      <c r="B559" s="173"/>
      <c r="C559" s="173"/>
      <c r="D559" s="173"/>
      <c r="E559" s="173"/>
      <c r="F559" s="69"/>
      <c r="G559" s="174"/>
    </row>
    <row r="560" spans="1:7" ht="17.25" hidden="1">
      <c r="A560" s="20" t="s">
        <v>1053</v>
      </c>
      <c r="B560" s="173"/>
      <c r="C560" s="173"/>
      <c r="D560" s="173"/>
      <c r="E560" s="173"/>
      <c r="F560" s="69"/>
      <c r="G560" s="174"/>
    </row>
    <row r="561" spans="1:7" ht="17.25" hidden="1">
      <c r="A561" s="20" t="s">
        <v>1054</v>
      </c>
      <c r="B561" s="173"/>
      <c r="C561" s="173"/>
      <c r="D561" s="173"/>
      <c r="E561" s="173"/>
      <c r="F561" s="69"/>
      <c r="G561" s="174"/>
    </row>
    <row r="562" spans="1:7" ht="17.25" hidden="1">
      <c r="A562" s="20" t="s">
        <v>1055</v>
      </c>
      <c r="B562" s="173"/>
      <c r="C562" s="173"/>
      <c r="D562" s="173"/>
      <c r="E562" s="173"/>
      <c r="F562" s="69">
        <v>0</v>
      </c>
      <c r="G562" s="174">
        <v>0</v>
      </c>
    </row>
    <row r="563" spans="1:7" ht="17.25" hidden="1">
      <c r="A563" s="20" t="s">
        <v>1056</v>
      </c>
      <c r="B563" s="173"/>
      <c r="C563" s="173"/>
      <c r="D563" s="173"/>
      <c r="E563" s="173"/>
      <c r="F563" s="8"/>
      <c r="G563" s="43"/>
    </row>
    <row r="564" spans="1:7" ht="17.25" hidden="1">
      <c r="A564" s="20" t="s">
        <v>1058</v>
      </c>
      <c r="B564" s="173"/>
      <c r="C564" s="173"/>
      <c r="D564" s="173"/>
      <c r="E564" s="173"/>
      <c r="F564" s="8"/>
      <c r="G564" s="43"/>
    </row>
    <row r="565" spans="1:7" ht="17.25" hidden="1">
      <c r="A565" s="20" t="s">
        <v>1057</v>
      </c>
      <c r="B565" s="173"/>
      <c r="C565" s="173"/>
      <c r="D565" s="173"/>
      <c r="E565" s="173"/>
      <c r="F565" s="8"/>
      <c r="G565" s="43"/>
    </row>
    <row r="566" spans="1:7" ht="15">
      <c r="A566" s="20"/>
      <c r="B566" s="173"/>
      <c r="C566" s="173"/>
      <c r="D566" s="173"/>
      <c r="E566" s="173"/>
      <c r="F566" s="8"/>
      <c r="G566" s="43"/>
    </row>
    <row r="567" spans="1:7" ht="15.75">
      <c r="A567" s="27" t="s">
        <v>1060</v>
      </c>
      <c r="B567" s="173"/>
      <c r="C567" s="173"/>
      <c r="D567" s="173"/>
      <c r="E567" s="173"/>
      <c r="F567" s="5">
        <f>SUM(F568:F571)</f>
        <v>446351658018</v>
      </c>
      <c r="G567" s="70">
        <f>SUM(G568:G571)</f>
        <v>250839591203</v>
      </c>
    </row>
    <row r="568" spans="1:7" ht="15">
      <c r="A568" s="20" t="s">
        <v>204</v>
      </c>
      <c r="B568" s="173"/>
      <c r="C568" s="173"/>
      <c r="D568" s="173"/>
      <c r="E568" s="173"/>
      <c r="F568" s="8">
        <f aca="true" t="shared" si="7" ref="F568:G571">F551</f>
        <v>10458336414</v>
      </c>
      <c r="G568" s="69">
        <f t="shared" si="7"/>
        <v>6687492384</v>
      </c>
    </row>
    <row r="569" spans="1:7" ht="15">
      <c r="A569" s="20" t="s">
        <v>205</v>
      </c>
      <c r="B569" s="173"/>
      <c r="C569" s="173"/>
      <c r="D569" s="173"/>
      <c r="E569" s="173"/>
      <c r="F569" s="8">
        <f t="shared" si="7"/>
        <v>429537581753</v>
      </c>
      <c r="G569" s="69">
        <f t="shared" si="7"/>
        <v>237818436294</v>
      </c>
    </row>
    <row r="570" spans="1:7" ht="15">
      <c r="A570" s="20" t="s">
        <v>206</v>
      </c>
      <c r="B570" s="173"/>
      <c r="C570" s="173"/>
      <c r="D570" s="173"/>
      <c r="E570" s="173"/>
      <c r="F570" s="8">
        <f t="shared" si="7"/>
        <v>6355739851</v>
      </c>
      <c r="G570" s="69">
        <f t="shared" si="7"/>
        <v>6147791162</v>
      </c>
    </row>
    <row r="571" spans="1:7" ht="15">
      <c r="A571" s="20" t="s">
        <v>207</v>
      </c>
      <c r="B571" s="173"/>
      <c r="C571" s="173"/>
      <c r="D571" s="173"/>
      <c r="E571" s="173"/>
      <c r="F571" s="8">
        <f t="shared" si="7"/>
        <v>0</v>
      </c>
      <c r="G571" s="69">
        <f t="shared" si="7"/>
        <v>185871363</v>
      </c>
    </row>
    <row r="572" spans="1:7" ht="17.25" hidden="1">
      <c r="A572" s="20"/>
      <c r="B572" s="173"/>
      <c r="C572" s="173"/>
      <c r="D572" s="173"/>
      <c r="E572" s="173"/>
      <c r="F572" s="8"/>
      <c r="G572" s="174"/>
    </row>
    <row r="573" spans="1:7" ht="15.75">
      <c r="A573" s="27" t="s">
        <v>1061</v>
      </c>
      <c r="B573" s="173"/>
      <c r="C573" s="173"/>
      <c r="D573" s="173"/>
      <c r="E573" s="292">
        <f>F573-'BIEU 11-BANGTIEUTHU (R) '!D8</f>
        <v>0</v>
      </c>
      <c r="F573" s="230">
        <f>SUM(F574:F578)</f>
        <v>279303427443</v>
      </c>
      <c r="G573" s="161">
        <f>SUM(G574:G578)</f>
        <v>160112567246</v>
      </c>
    </row>
    <row r="574" spans="1:7" ht="15">
      <c r="A574" s="20" t="s">
        <v>1062</v>
      </c>
      <c r="B574" s="173"/>
      <c r="C574" s="173"/>
      <c r="D574" s="173"/>
      <c r="E574" s="173"/>
      <c r="F574" s="8">
        <f>'BIEU 11-BANGTIEUTHU (R) '!E28+'BIEU 11-BANGTIEUTHU (R) '!E30</f>
        <v>10382008562</v>
      </c>
      <c r="G574" s="69">
        <f>'BIEU 11-BANGTIEUTHU (R) '!O28+'BIEU 11-BANGTIEUTHU (R) '!O30</f>
        <v>6687492383</v>
      </c>
    </row>
    <row r="575" spans="1:7" ht="15">
      <c r="A575" s="20" t="s">
        <v>1063</v>
      </c>
      <c r="B575" s="173"/>
      <c r="C575" s="173"/>
      <c r="D575" s="173"/>
      <c r="E575" s="173"/>
      <c r="F575" s="8">
        <f>'BIEU 11-BANGTIEUTHU (R) '!E8-F574-F576-F577-F578</f>
        <v>262565679030</v>
      </c>
      <c r="G575" s="69">
        <f>'BIEU 11-BANGTIEUTHU (R) '!O8-G574-G576-G577-G578</f>
        <v>147101314906</v>
      </c>
    </row>
    <row r="576" spans="1:7" ht="15">
      <c r="A576" s="20" t="s">
        <v>1030</v>
      </c>
      <c r="B576" s="173"/>
      <c r="C576" s="173"/>
      <c r="D576" s="173"/>
      <c r="E576" s="173"/>
      <c r="F576" s="8">
        <f>'BIEU 11-BANGTIEUTHU (R) '!E24+'BIEU 11-BANGTIEUTHU (R) '!E27+'BIEU 11-BANGTIEUTHU (R) '!E29</f>
        <v>6355739851</v>
      </c>
      <c r="G576" s="69">
        <f>'BIEU 11-BANGTIEUTHU (R) '!O24+'BIEU 11-BANGTIEUTHU (R) '!O27+'BIEU 11-BANGTIEUTHU (R) '!O29</f>
        <v>6147791162</v>
      </c>
    </row>
    <row r="577" spans="1:7" ht="15">
      <c r="A577" s="20" t="s">
        <v>208</v>
      </c>
      <c r="B577" s="173"/>
      <c r="C577" s="173"/>
      <c r="D577" s="173"/>
      <c r="E577" s="173"/>
      <c r="F577" s="164">
        <f>'BIEU 11-BANGTIEUTHU (R) '!E25</f>
        <v>0</v>
      </c>
      <c r="G577" s="69">
        <f>'BIEU 11-BANGTIEUTHU (R) '!O25</f>
        <v>175968795</v>
      </c>
    </row>
    <row r="578" spans="1:7" ht="17.25" hidden="1">
      <c r="A578" s="20" t="s">
        <v>723</v>
      </c>
      <c r="B578" s="173"/>
      <c r="C578" s="173"/>
      <c r="D578" s="173"/>
      <c r="E578" s="173"/>
      <c r="F578" s="8">
        <v>0</v>
      </c>
      <c r="G578" s="174">
        <v>0</v>
      </c>
    </row>
    <row r="579" spans="1:7" ht="17.25" hidden="1">
      <c r="A579" s="20"/>
      <c r="B579" s="173"/>
      <c r="C579" s="173"/>
      <c r="D579" s="173"/>
      <c r="E579" s="173"/>
      <c r="F579" s="8"/>
      <c r="G579" s="174"/>
    </row>
    <row r="580" spans="1:7" ht="15.75">
      <c r="A580" s="27" t="s">
        <v>734</v>
      </c>
      <c r="B580" s="173"/>
      <c r="C580" s="173"/>
      <c r="D580" s="173"/>
      <c r="E580" s="173"/>
      <c r="F580" s="183" t="s">
        <v>903</v>
      </c>
      <c r="G580" s="177" t="s">
        <v>904</v>
      </c>
    </row>
    <row r="581" spans="1:7" ht="15">
      <c r="A581" s="20" t="s">
        <v>1025</v>
      </c>
      <c r="B581" s="173"/>
      <c r="C581" s="173"/>
      <c r="D581" s="173"/>
      <c r="E581" s="173"/>
      <c r="F581" s="8">
        <f>'BIEU 11-BANGTIEUTHU (R) '!L33+'BIEU 11-BANGTIEUTHU (R) '!L34</f>
        <v>12925279998</v>
      </c>
      <c r="G581" s="69">
        <f>'BIEU 11-BANGTIEUTHU (R) '!P33+'BIEU 11-BANGTIEUTHU (R) '!P34</f>
        <v>2188257074</v>
      </c>
    </row>
    <row r="582" spans="1:7" ht="15">
      <c r="A582" s="20" t="s">
        <v>212</v>
      </c>
      <c r="B582" s="173"/>
      <c r="C582" s="173"/>
      <c r="D582" s="173"/>
      <c r="E582" s="173"/>
      <c r="F582" s="8">
        <f>'BIEU 11-BANGTIEUTHU (R) '!L39</f>
        <v>33701444</v>
      </c>
      <c r="G582" s="69">
        <f>'BIEU 11-BANGTIEUTHU (R) '!P39</f>
        <v>3895800</v>
      </c>
    </row>
    <row r="583" spans="1:7" ht="15">
      <c r="A583" s="20" t="s">
        <v>211</v>
      </c>
      <c r="B583" s="173"/>
      <c r="C583" s="173"/>
      <c r="D583" s="173"/>
      <c r="E583" s="173"/>
      <c r="F583" s="8">
        <v>0</v>
      </c>
      <c r="G583" s="69">
        <v>0</v>
      </c>
    </row>
    <row r="584" spans="1:7" ht="15">
      <c r="A584" s="20" t="s">
        <v>1026</v>
      </c>
      <c r="B584" s="173"/>
      <c r="C584" s="173"/>
      <c r="D584" s="173"/>
      <c r="E584" s="173"/>
      <c r="F584" s="8">
        <f>'BIEU 11-BANGTIEUTHU (R) '!L35</f>
        <v>938254125</v>
      </c>
      <c r="G584" s="69">
        <f>'BIEU 11-BANGTIEUTHU (R) '!P35</f>
        <v>1673181991</v>
      </c>
    </row>
    <row r="585" spans="1:7" ht="15">
      <c r="A585" s="20" t="s">
        <v>1027</v>
      </c>
      <c r="B585" s="173"/>
      <c r="C585" s="173"/>
      <c r="D585" s="173"/>
      <c r="E585" s="173"/>
      <c r="F585" s="8"/>
      <c r="G585" s="69">
        <v>0</v>
      </c>
    </row>
    <row r="586" spans="1:7" ht="15">
      <c r="A586" s="20" t="s">
        <v>724</v>
      </c>
      <c r="B586" s="173"/>
      <c r="C586" s="173"/>
      <c r="D586" s="173"/>
      <c r="E586" s="173"/>
      <c r="F586" s="8">
        <f>'BIEU 11-BANGTIEUTHU (R) '!L36</f>
        <v>10097624378</v>
      </c>
      <c r="G586" s="69">
        <f>'BIEU 11-BANGTIEUTHU (R) '!P36</f>
        <v>0</v>
      </c>
    </row>
    <row r="587" spans="1:7" ht="15">
      <c r="A587" s="20" t="s">
        <v>725</v>
      </c>
      <c r="B587" s="173"/>
      <c r="C587" s="173"/>
      <c r="D587" s="173"/>
      <c r="E587" s="173"/>
      <c r="F587" s="8">
        <v>0</v>
      </c>
      <c r="G587" s="69">
        <v>0</v>
      </c>
    </row>
    <row r="588" spans="1:7" ht="15">
      <c r="A588" s="20" t="s">
        <v>1028</v>
      </c>
      <c r="B588" s="173"/>
      <c r="C588" s="173"/>
      <c r="D588" s="173"/>
      <c r="E588" s="173"/>
      <c r="F588" s="8"/>
      <c r="G588" s="69"/>
    </row>
    <row r="589" spans="1:7" ht="15">
      <c r="A589" s="20" t="s">
        <v>1029</v>
      </c>
      <c r="B589" s="173"/>
      <c r="C589" s="173"/>
      <c r="D589" s="173"/>
      <c r="E589" s="173"/>
      <c r="F589" s="8">
        <f>'BIEU 11-BANGTIEUTHU (R) '!L37+'BIEU 11-BANGTIEUTHU (R) '!L38+'BIEU 11-BANGTIEUTHU (R) '!L40</f>
        <v>27692500</v>
      </c>
      <c r="G589" s="69">
        <f>'BIEU 11-BANGTIEUTHU (R) '!P37+'BIEU 11-BANGTIEUTHU (R) '!P38+'BIEU 11-BANGTIEUTHU (R) '!P40</f>
        <v>204000</v>
      </c>
    </row>
    <row r="590" spans="1:7" ht="15.75">
      <c r="A590" s="175" t="s">
        <v>907</v>
      </c>
      <c r="B590" s="173"/>
      <c r="C590" s="173"/>
      <c r="D590" s="173"/>
      <c r="E590" s="292">
        <f>F590-'BIEU 11-BANGTIEUTHU (R) '!L32</f>
        <v>0</v>
      </c>
      <c r="F590" s="5">
        <f>SUM(F581:F589)</f>
        <v>24022552445</v>
      </c>
      <c r="G590" s="176">
        <f>SUM(G581:G589)</f>
        <v>3865538865</v>
      </c>
    </row>
    <row r="591" spans="1:7" ht="18" hidden="1">
      <c r="A591" s="175"/>
      <c r="B591" s="173"/>
      <c r="C591" s="173"/>
      <c r="D591" s="173"/>
      <c r="E591" s="173"/>
      <c r="F591" s="5"/>
      <c r="G591" s="176"/>
    </row>
    <row r="592" spans="1:7" ht="15.75">
      <c r="A592" s="27" t="s">
        <v>735</v>
      </c>
      <c r="B592" s="173"/>
      <c r="C592" s="173"/>
      <c r="D592" s="173"/>
      <c r="E592" s="173"/>
      <c r="F592" s="183" t="s">
        <v>903</v>
      </c>
      <c r="G592" s="177" t="s">
        <v>904</v>
      </c>
    </row>
    <row r="593" spans="1:7" ht="15">
      <c r="A593" s="20" t="s">
        <v>726</v>
      </c>
      <c r="B593" s="173"/>
      <c r="C593" s="173"/>
      <c r="D593" s="173"/>
      <c r="E593" s="173"/>
      <c r="F593" s="8">
        <f>'BIEU 11-BANGTIEUTHU (R) '!D33-F600</f>
        <v>2058890625</v>
      </c>
      <c r="G593" s="69">
        <f>'BIEU 11-BANGTIEUTHU (R) '!O33-G600</f>
        <v>2029711696</v>
      </c>
    </row>
    <row r="594" spans="1:7" ht="17.25" hidden="1">
      <c r="A594" s="20" t="s">
        <v>727</v>
      </c>
      <c r="B594" s="173"/>
      <c r="C594" s="173"/>
      <c r="D594" s="173"/>
      <c r="E594" s="173"/>
      <c r="F594" s="8"/>
      <c r="G594" s="174"/>
    </row>
    <row r="595" spans="1:7" ht="17.25" hidden="1">
      <c r="A595" s="20" t="s">
        <v>728</v>
      </c>
      <c r="B595" s="173"/>
      <c r="C595" s="173"/>
      <c r="D595" s="173"/>
      <c r="E595" s="173"/>
      <c r="F595" s="8"/>
      <c r="G595" s="174"/>
    </row>
    <row r="596" spans="1:7" ht="17.25" hidden="1">
      <c r="A596" s="20" t="s">
        <v>729</v>
      </c>
      <c r="B596" s="173"/>
      <c r="C596" s="173"/>
      <c r="D596" s="173"/>
      <c r="E596" s="173"/>
      <c r="F596" s="8"/>
      <c r="G596" s="174"/>
    </row>
    <row r="597" spans="1:7" ht="17.25" hidden="1">
      <c r="A597" s="20" t="s">
        <v>730</v>
      </c>
      <c r="B597" s="173"/>
      <c r="C597" s="173"/>
      <c r="D597" s="173"/>
      <c r="E597" s="173"/>
      <c r="F597" s="8">
        <v>0</v>
      </c>
      <c r="G597" s="174">
        <v>0</v>
      </c>
    </row>
    <row r="598" spans="1:7" ht="17.25" hidden="1">
      <c r="A598" s="20" t="s">
        <v>731</v>
      </c>
      <c r="B598" s="173"/>
      <c r="C598" s="173"/>
      <c r="D598" s="173"/>
      <c r="E598" s="173"/>
      <c r="F598" s="8">
        <v>0</v>
      </c>
      <c r="G598" s="174">
        <v>0</v>
      </c>
    </row>
    <row r="599" spans="1:7" ht="17.25" hidden="1">
      <c r="A599" s="20" t="s">
        <v>732</v>
      </c>
      <c r="B599" s="173"/>
      <c r="C599" s="173"/>
      <c r="D599" s="173"/>
      <c r="E599" s="173"/>
      <c r="F599" s="8">
        <v>0</v>
      </c>
      <c r="G599" s="174">
        <v>0</v>
      </c>
    </row>
    <row r="600" spans="1:7" ht="15">
      <c r="A600" s="20" t="s">
        <v>733</v>
      </c>
      <c r="B600" s="173"/>
      <c r="C600" s="173"/>
      <c r="D600" s="173"/>
      <c r="E600" s="173"/>
      <c r="F600" s="8">
        <v>0</v>
      </c>
      <c r="G600" s="174">
        <v>0</v>
      </c>
    </row>
    <row r="601" spans="1:7" ht="15.75">
      <c r="A601" s="175" t="s">
        <v>907</v>
      </c>
      <c r="B601" s="173"/>
      <c r="C601" s="173"/>
      <c r="D601" s="173"/>
      <c r="E601" s="292">
        <f>F601-'BIEU 11-BANGTIEUTHU (R) '!D32</f>
        <v>0</v>
      </c>
      <c r="F601" s="5">
        <f>SUM(F593:F600)</f>
        <v>2058890625</v>
      </c>
      <c r="G601" s="176">
        <f>SUM(G593:G600)</f>
        <v>2029711696</v>
      </c>
    </row>
    <row r="602" spans="1:7" ht="17.25" hidden="1">
      <c r="A602" s="20"/>
      <c r="B602" s="173"/>
      <c r="C602" s="173"/>
      <c r="D602" s="173"/>
      <c r="E602" s="173"/>
      <c r="F602" s="8"/>
      <c r="G602" s="43"/>
    </row>
    <row r="603" spans="1:7" ht="15.75">
      <c r="A603" s="27" t="s">
        <v>785</v>
      </c>
      <c r="B603" s="173"/>
      <c r="C603" s="173"/>
      <c r="D603" s="173"/>
      <c r="E603" s="173"/>
      <c r="F603" s="183" t="s">
        <v>903</v>
      </c>
      <c r="G603" s="177" t="s">
        <v>904</v>
      </c>
    </row>
    <row r="604" spans="1:7" ht="15">
      <c r="A604" s="20" t="s">
        <v>781</v>
      </c>
      <c r="B604" s="173"/>
      <c r="C604" s="173"/>
      <c r="D604" s="173"/>
      <c r="E604" s="173"/>
      <c r="F604" s="8">
        <f>'B 02-DN KQKD moi (R)'!E24</f>
        <v>18245202990</v>
      </c>
      <c r="G604" s="174">
        <f>'B 02-DN KQKD moi (R)'!G24</f>
        <v>0</v>
      </c>
    </row>
    <row r="605" spans="1:7" ht="15">
      <c r="A605" s="20" t="s">
        <v>782</v>
      </c>
      <c r="B605" s="173"/>
      <c r="C605" s="173"/>
      <c r="D605" s="173"/>
      <c r="E605" s="173"/>
      <c r="F605" s="8">
        <v>0</v>
      </c>
      <c r="G605" s="43">
        <v>0</v>
      </c>
    </row>
    <row r="606" spans="1:7" ht="15.75">
      <c r="A606" s="20" t="s">
        <v>783</v>
      </c>
      <c r="B606" s="173"/>
      <c r="C606" s="173"/>
      <c r="D606" s="173"/>
      <c r="E606" s="173"/>
      <c r="F606" s="5">
        <f>SUM(F604:F605)</f>
        <v>18245202990</v>
      </c>
      <c r="G606" s="70">
        <f>SUM(G604:G605)</f>
        <v>0</v>
      </c>
    </row>
    <row r="607" spans="1:7" ht="17.25" hidden="1">
      <c r="A607" s="20"/>
      <c r="B607" s="173"/>
      <c r="C607" s="173"/>
      <c r="D607" s="173"/>
      <c r="E607" s="173"/>
      <c r="F607" s="69"/>
      <c r="G607" s="43"/>
    </row>
    <row r="608" spans="1:7" ht="17.25" hidden="1">
      <c r="A608" s="20"/>
      <c r="B608" s="173"/>
      <c r="C608" s="173"/>
      <c r="D608" s="173"/>
      <c r="E608" s="173"/>
      <c r="F608" s="69"/>
      <c r="G608" s="43"/>
    </row>
    <row r="609" spans="1:7" ht="18" hidden="1">
      <c r="A609" s="210" t="s">
        <v>784</v>
      </c>
      <c r="B609" s="180"/>
      <c r="C609" s="180"/>
      <c r="D609" s="180"/>
      <c r="E609" s="180"/>
      <c r="F609" s="212" t="s">
        <v>903</v>
      </c>
      <c r="G609" s="211" t="s">
        <v>904</v>
      </c>
    </row>
    <row r="610" spans="1:7" ht="17.25" hidden="1">
      <c r="A610" s="12" t="s">
        <v>786</v>
      </c>
      <c r="G610" s="76"/>
    </row>
    <row r="611" spans="1:7" ht="17.25" hidden="1">
      <c r="A611" s="12" t="s">
        <v>787</v>
      </c>
      <c r="G611" s="76"/>
    </row>
    <row r="612" spans="1:7" s="135" customFormat="1" ht="17.25" hidden="1">
      <c r="A612" s="149" t="s">
        <v>528</v>
      </c>
      <c r="B612" s="134"/>
      <c r="C612" s="134"/>
      <c r="D612" s="134"/>
      <c r="E612" s="134"/>
      <c r="F612" s="134"/>
      <c r="G612" s="76"/>
    </row>
    <row r="613" spans="1:7" s="135" customFormat="1" ht="17.25" hidden="1">
      <c r="A613" s="149" t="s">
        <v>529</v>
      </c>
      <c r="B613" s="134"/>
      <c r="C613" s="134"/>
      <c r="D613" s="134"/>
      <c r="E613" s="134"/>
      <c r="F613" s="134"/>
      <c r="G613" s="76"/>
    </row>
    <row r="614" spans="1:7" s="135" customFormat="1" ht="17.25" hidden="1">
      <c r="A614" s="149" t="s">
        <v>530</v>
      </c>
      <c r="B614" s="134"/>
      <c r="C614" s="134"/>
      <c r="D614" s="134"/>
      <c r="E614" s="134"/>
      <c r="F614" s="134"/>
      <c r="G614" s="76"/>
    </row>
    <row r="615" spans="1:7" s="135" customFormat="1" ht="17.25" hidden="1">
      <c r="A615" s="135" t="s">
        <v>533</v>
      </c>
      <c r="B615" s="134"/>
      <c r="C615" s="134"/>
      <c r="D615" s="134"/>
      <c r="E615" s="134"/>
      <c r="F615" s="134"/>
      <c r="G615" s="76"/>
    </row>
    <row r="616" spans="2:7" s="135" customFormat="1" ht="17.25" hidden="1">
      <c r="B616" s="134"/>
      <c r="C616" s="134"/>
      <c r="D616" s="134"/>
      <c r="E616" s="134"/>
      <c r="F616" s="134"/>
      <c r="G616" s="76"/>
    </row>
    <row r="617" spans="1:7" ht="18" hidden="1">
      <c r="A617" s="170" t="s">
        <v>534</v>
      </c>
      <c r="B617" s="171"/>
      <c r="C617" s="171"/>
      <c r="D617" s="171"/>
      <c r="E617" s="171"/>
      <c r="F617" s="182" t="s">
        <v>903</v>
      </c>
      <c r="G617" s="172" t="s">
        <v>904</v>
      </c>
    </row>
    <row r="618" spans="1:7" ht="17.25" hidden="1">
      <c r="A618" s="20" t="s">
        <v>535</v>
      </c>
      <c r="B618" s="173"/>
      <c r="C618" s="173"/>
      <c r="D618" s="173"/>
      <c r="E618" s="173"/>
      <c r="F618" s="69">
        <v>49262531998</v>
      </c>
      <c r="G618" s="69">
        <v>58210565665</v>
      </c>
    </row>
    <row r="619" spans="1:7" ht="17.25" hidden="1">
      <c r="A619" s="20" t="s">
        <v>536</v>
      </c>
      <c r="B619" s="173"/>
      <c r="C619" s="173"/>
      <c r="D619" s="173"/>
      <c r="E619" s="173"/>
      <c r="F619" s="69">
        <v>179846563291</v>
      </c>
      <c r="G619" s="69">
        <v>240657346913</v>
      </c>
    </row>
    <row r="620" spans="1:7" ht="17.25" hidden="1">
      <c r="A620" s="20" t="s">
        <v>537</v>
      </c>
      <c r="B620" s="173"/>
      <c r="C620" s="173"/>
      <c r="D620" s="173"/>
      <c r="E620" s="173"/>
      <c r="F620" s="69">
        <v>18162785383</v>
      </c>
      <c r="G620" s="69">
        <f>18403404341+112406723</f>
        <v>18515811064</v>
      </c>
    </row>
    <row r="621" spans="1:7" ht="17.25" hidden="1">
      <c r="A621" s="20" t="s">
        <v>538</v>
      </c>
      <c r="B621" s="173"/>
      <c r="C621" s="173"/>
      <c r="D621" s="173"/>
      <c r="E621" s="173"/>
      <c r="F621" s="69">
        <v>4185040941</v>
      </c>
      <c r="G621" s="69">
        <v>4300668838</v>
      </c>
    </row>
    <row r="622" spans="1:7" ht="17.25" hidden="1">
      <c r="A622" s="20" t="s">
        <v>539</v>
      </c>
      <c r="B622" s="173"/>
      <c r="C622" s="173"/>
      <c r="D622" s="173"/>
      <c r="E622" s="173"/>
      <c r="F622" s="69">
        <v>47482302465</v>
      </c>
      <c r="G622" s="69">
        <v>34747724257</v>
      </c>
    </row>
    <row r="623" spans="1:7" ht="18" hidden="1">
      <c r="A623" s="179" t="s">
        <v>907</v>
      </c>
      <c r="B623" s="180"/>
      <c r="C623" s="180"/>
      <c r="D623" s="180"/>
      <c r="E623" s="180"/>
      <c r="F623" s="184">
        <f>F618+F619+F620+F621+F622</f>
        <v>298939224078</v>
      </c>
      <c r="G623" s="181">
        <f>G618+G619+G620+G621+G622</f>
        <v>356432116737</v>
      </c>
    </row>
    <row r="624" spans="1:7" ht="18" hidden="1">
      <c r="A624" s="233"/>
      <c r="B624" s="24"/>
      <c r="C624" s="24"/>
      <c r="D624" s="24"/>
      <c r="E624" s="24"/>
      <c r="F624" s="234"/>
      <c r="G624" s="235"/>
    </row>
    <row r="625" spans="1:7" ht="18" hidden="1">
      <c r="A625" s="233"/>
      <c r="B625" s="24"/>
      <c r="C625" s="24"/>
      <c r="D625" s="24"/>
      <c r="E625" s="24"/>
      <c r="F625" s="234"/>
      <c r="G625" s="235"/>
    </row>
    <row r="626" spans="1:7" ht="18" hidden="1">
      <c r="A626" s="236" t="s">
        <v>540</v>
      </c>
      <c r="B626" s="171"/>
      <c r="C626" s="171"/>
      <c r="D626" s="171"/>
      <c r="E626" s="171"/>
      <c r="F626" s="182"/>
      <c r="G626" s="172"/>
    </row>
    <row r="627" spans="1:7" ht="18" hidden="1">
      <c r="A627" s="188" t="s">
        <v>964</v>
      </c>
      <c r="B627" s="173"/>
      <c r="C627" s="173"/>
      <c r="D627" s="173"/>
      <c r="E627" s="173"/>
      <c r="F627" s="69"/>
      <c r="G627" s="174"/>
    </row>
    <row r="628" spans="1:7" ht="18" hidden="1">
      <c r="A628" s="188" t="s">
        <v>963</v>
      </c>
      <c r="B628" s="173"/>
      <c r="C628" s="173"/>
      <c r="D628" s="173"/>
      <c r="E628" s="173"/>
      <c r="F628" s="183" t="s">
        <v>903</v>
      </c>
      <c r="G628" s="177" t="s">
        <v>904</v>
      </c>
    </row>
    <row r="629" spans="1:7" s="135" customFormat="1" ht="17.25" hidden="1">
      <c r="A629" s="200" t="s">
        <v>541</v>
      </c>
      <c r="B629" s="201"/>
      <c r="C629" s="201"/>
      <c r="D629" s="201"/>
      <c r="E629" s="201"/>
      <c r="F629" s="208"/>
      <c r="G629" s="174"/>
    </row>
    <row r="630" spans="1:7" s="135" customFormat="1" ht="17.25" hidden="1">
      <c r="A630" s="202" t="s">
        <v>1031</v>
      </c>
      <c r="B630" s="201"/>
      <c r="C630" s="201"/>
      <c r="D630" s="201"/>
      <c r="E630" s="201"/>
      <c r="F630" s="208"/>
      <c r="G630" s="174"/>
    </row>
    <row r="631" spans="1:7" s="135" customFormat="1" ht="17.25" hidden="1">
      <c r="A631" s="202" t="s">
        <v>1032</v>
      </c>
      <c r="B631" s="201"/>
      <c r="C631" s="201"/>
      <c r="D631" s="201"/>
      <c r="E631" s="201"/>
      <c r="F631" s="208"/>
      <c r="G631" s="174"/>
    </row>
    <row r="632" spans="1:7" s="135" customFormat="1" ht="17.25" hidden="1">
      <c r="A632" s="202" t="s">
        <v>542</v>
      </c>
      <c r="B632" s="201"/>
      <c r="C632" s="201"/>
      <c r="D632" s="201"/>
      <c r="E632" s="201"/>
      <c r="F632" s="208"/>
      <c r="G632" s="174"/>
    </row>
    <row r="633" spans="1:7" s="135" customFormat="1" ht="17.25" hidden="1">
      <c r="A633" s="202" t="s">
        <v>1033</v>
      </c>
      <c r="B633" s="201"/>
      <c r="C633" s="201"/>
      <c r="D633" s="201"/>
      <c r="E633" s="201"/>
      <c r="F633" s="208"/>
      <c r="G633" s="174"/>
    </row>
    <row r="634" spans="1:7" s="135" customFormat="1" ht="17.25" hidden="1">
      <c r="A634" s="202" t="s">
        <v>1034</v>
      </c>
      <c r="B634" s="201"/>
      <c r="C634" s="201"/>
      <c r="D634" s="201"/>
      <c r="E634" s="201"/>
      <c r="F634" s="208"/>
      <c r="G634" s="174"/>
    </row>
    <row r="635" spans="1:7" s="135" customFormat="1" ht="17.25" hidden="1">
      <c r="A635" s="200" t="s">
        <v>962</v>
      </c>
      <c r="B635" s="201"/>
      <c r="C635" s="201"/>
      <c r="D635" s="201"/>
      <c r="E635" s="201"/>
      <c r="F635" s="208"/>
      <c r="G635" s="174"/>
    </row>
    <row r="636" spans="1:7" s="135" customFormat="1" ht="17.25" hidden="1">
      <c r="A636" s="202" t="s">
        <v>961</v>
      </c>
      <c r="B636" s="201"/>
      <c r="C636" s="201"/>
      <c r="D636" s="201"/>
      <c r="E636" s="201"/>
      <c r="F636" s="208"/>
      <c r="G636" s="174"/>
    </row>
    <row r="637" spans="1:7" s="135" customFormat="1" ht="17.25" hidden="1">
      <c r="A637" s="202" t="s">
        <v>960</v>
      </c>
      <c r="B637" s="201"/>
      <c r="C637" s="201"/>
      <c r="D637" s="201"/>
      <c r="E637" s="201"/>
      <c r="F637" s="208"/>
      <c r="G637" s="174"/>
    </row>
    <row r="638" spans="1:7" s="135" customFormat="1" ht="17.25" hidden="1">
      <c r="A638" s="202" t="s">
        <v>714</v>
      </c>
      <c r="B638" s="201"/>
      <c r="C638" s="201"/>
      <c r="D638" s="201"/>
      <c r="E638" s="201"/>
      <c r="F638" s="208"/>
      <c r="G638" s="174"/>
    </row>
    <row r="639" spans="1:7" s="135" customFormat="1" ht="17.25" hidden="1">
      <c r="A639" s="200" t="s">
        <v>715</v>
      </c>
      <c r="B639" s="201"/>
      <c r="C639" s="201"/>
      <c r="D639" s="201"/>
      <c r="E639" s="201"/>
      <c r="F639" s="208"/>
      <c r="G639" s="174"/>
    </row>
    <row r="640" spans="1:7" s="135" customFormat="1" ht="17.25" hidden="1">
      <c r="A640" s="202"/>
      <c r="B640" s="201"/>
      <c r="C640" s="201"/>
      <c r="D640" s="201"/>
      <c r="E640" s="201"/>
      <c r="F640" s="208"/>
      <c r="G640" s="174"/>
    </row>
    <row r="641" spans="1:7" ht="18" hidden="1">
      <c r="A641" s="188" t="s">
        <v>919</v>
      </c>
      <c r="B641" s="173"/>
      <c r="C641" s="173"/>
      <c r="D641" s="173"/>
      <c r="E641" s="173"/>
      <c r="F641" s="8"/>
      <c r="G641" s="43"/>
    </row>
    <row r="642" spans="1:7" ht="17.25" hidden="1">
      <c r="A642" s="203" t="s">
        <v>921</v>
      </c>
      <c r="B642" s="173"/>
      <c r="C642" s="173"/>
      <c r="D642" s="173"/>
      <c r="E642" s="173"/>
      <c r="F642" s="8"/>
      <c r="G642" s="43"/>
    </row>
    <row r="643" spans="1:7" ht="17.25" hidden="1">
      <c r="A643" s="203" t="s">
        <v>922</v>
      </c>
      <c r="B643" s="173"/>
      <c r="C643" s="173"/>
      <c r="D643" s="173"/>
      <c r="E643" s="173"/>
      <c r="F643" s="8"/>
      <c r="G643" s="43"/>
    </row>
    <row r="644" spans="1:7" ht="17.25" hidden="1">
      <c r="A644" s="203" t="s">
        <v>923</v>
      </c>
      <c r="B644" s="173"/>
      <c r="C644" s="173"/>
      <c r="D644" s="173"/>
      <c r="E644" s="173"/>
      <c r="F644" s="8"/>
      <c r="G644" s="43"/>
    </row>
    <row r="645" spans="1:7" ht="17.25" hidden="1">
      <c r="A645" s="203" t="s">
        <v>926</v>
      </c>
      <c r="B645" s="173"/>
      <c r="C645" s="173"/>
      <c r="D645" s="173"/>
      <c r="E645" s="173"/>
      <c r="F645" s="8"/>
      <c r="G645" s="43"/>
    </row>
    <row r="646" spans="1:7" ht="17.25" hidden="1">
      <c r="A646" s="203" t="s">
        <v>927</v>
      </c>
      <c r="B646" s="173"/>
      <c r="C646" s="173"/>
      <c r="D646" s="173"/>
      <c r="E646" s="173"/>
      <c r="F646" s="8"/>
      <c r="G646" s="43"/>
    </row>
    <row r="647" spans="1:7" ht="17.25" hidden="1">
      <c r="A647" s="203" t="s">
        <v>928</v>
      </c>
      <c r="B647" s="173"/>
      <c r="C647" s="173"/>
      <c r="D647" s="173"/>
      <c r="E647" s="173"/>
      <c r="F647" s="8"/>
      <c r="G647" s="43"/>
    </row>
    <row r="648" spans="1:7" ht="17.25" hidden="1">
      <c r="A648" s="203" t="s">
        <v>930</v>
      </c>
      <c r="B648" s="173"/>
      <c r="C648" s="173"/>
      <c r="D648" s="173"/>
      <c r="E648" s="173"/>
      <c r="F648" s="8"/>
      <c r="G648" s="43"/>
    </row>
    <row r="649" spans="1:7" ht="17.25" hidden="1">
      <c r="A649" s="20" t="s">
        <v>920</v>
      </c>
      <c r="B649" s="173"/>
      <c r="C649" s="173"/>
      <c r="D649" s="173"/>
      <c r="E649" s="173"/>
      <c r="F649" s="8"/>
      <c r="G649" s="43"/>
    </row>
    <row r="650" spans="1:7" ht="18" hidden="1">
      <c r="A650" s="27" t="s">
        <v>427</v>
      </c>
      <c r="B650" s="173"/>
      <c r="C650" s="173"/>
      <c r="D650" s="173"/>
      <c r="E650" s="173"/>
      <c r="F650" s="183" t="s">
        <v>903</v>
      </c>
      <c r="G650" s="177" t="s">
        <v>904</v>
      </c>
    </row>
    <row r="651" spans="1:7" ht="17.25" hidden="1">
      <c r="A651" s="20" t="s">
        <v>421</v>
      </c>
      <c r="B651" s="173"/>
      <c r="C651" s="173"/>
      <c r="D651" s="173"/>
      <c r="E651" s="173"/>
      <c r="F651" s="8">
        <v>2547</v>
      </c>
      <c r="G651" s="8">
        <v>2562</v>
      </c>
    </row>
    <row r="652" spans="1:7" ht="17.25" hidden="1">
      <c r="A652" s="20" t="s">
        <v>422</v>
      </c>
      <c r="B652" s="173"/>
      <c r="C652" s="173"/>
      <c r="D652" s="173"/>
      <c r="E652" s="173"/>
      <c r="F652" s="8">
        <v>2554</v>
      </c>
      <c r="G652" s="8">
        <v>2561</v>
      </c>
    </row>
    <row r="653" spans="1:7" ht="17.25" hidden="1">
      <c r="A653" s="20" t="s">
        <v>423</v>
      </c>
      <c r="B653" s="173"/>
      <c r="C653" s="173"/>
      <c r="D653" s="173"/>
      <c r="E653" s="173"/>
      <c r="F653" s="8"/>
      <c r="G653" s="43"/>
    </row>
    <row r="654" spans="1:7" ht="17.25" hidden="1">
      <c r="A654" s="20" t="s">
        <v>424</v>
      </c>
      <c r="B654" s="173"/>
      <c r="C654" s="173"/>
      <c r="D654" s="173"/>
      <c r="E654" s="173"/>
      <c r="F654" s="8">
        <f>'BIEU 02-Bang CDSPS '!J171</f>
        <v>185032119211</v>
      </c>
      <c r="G654" s="43">
        <v>226971830159</v>
      </c>
    </row>
    <row r="655" spans="1:7" ht="17.25" hidden="1">
      <c r="A655" s="20" t="s">
        <v>739</v>
      </c>
      <c r="B655" s="173"/>
      <c r="C655" s="173"/>
      <c r="D655" s="173"/>
      <c r="E655" s="173"/>
      <c r="F655" s="8">
        <f>'BIEU 02-Bang CDSPS '!H173</f>
        <v>13770197291</v>
      </c>
      <c r="G655" s="43">
        <v>10012491584</v>
      </c>
    </row>
    <row r="656" spans="1:7" ht="17.25" hidden="1">
      <c r="A656" s="20" t="s">
        <v>425</v>
      </c>
      <c r="B656" s="173"/>
      <c r="C656" s="173"/>
      <c r="D656" s="173"/>
      <c r="E656" s="173"/>
      <c r="F656" s="8"/>
      <c r="G656" s="43"/>
    </row>
    <row r="657" spans="1:7" ht="18" hidden="1">
      <c r="A657" s="27" t="s">
        <v>426</v>
      </c>
      <c r="B657" s="173"/>
      <c r="C657" s="173"/>
      <c r="D657" s="173"/>
      <c r="E657" s="173"/>
      <c r="F657" s="8"/>
      <c r="G657" s="43"/>
    </row>
    <row r="658" spans="1:7" ht="18" hidden="1">
      <c r="A658" s="20" t="s">
        <v>428</v>
      </c>
      <c r="B658" s="173"/>
      <c r="C658" s="173"/>
      <c r="D658" s="173"/>
      <c r="E658" s="173"/>
      <c r="F658" s="5">
        <f>'B 02-DN KQKD moi (R)'!E23</f>
        <v>164737822010</v>
      </c>
      <c r="G658" s="44">
        <f>'B 02-DN KQKD moi (R)'!G23</f>
        <v>91716330811</v>
      </c>
    </row>
    <row r="659" spans="1:7" ht="17.25" hidden="1">
      <c r="A659" s="20" t="s">
        <v>429</v>
      </c>
      <c r="B659" s="173"/>
      <c r="C659" s="173"/>
      <c r="D659" s="173"/>
      <c r="E659" s="173"/>
      <c r="F659" s="8"/>
      <c r="G659" s="43"/>
    </row>
    <row r="660" spans="1:7" ht="17.25" hidden="1">
      <c r="A660" s="20" t="s">
        <v>430</v>
      </c>
      <c r="B660" s="173"/>
      <c r="C660" s="173"/>
      <c r="D660" s="173"/>
      <c r="E660" s="173"/>
      <c r="F660" s="8">
        <f>SUM(F661:F665)</f>
        <v>284025600</v>
      </c>
      <c r="G660" s="43">
        <f>SUM(G661:G665)</f>
        <v>1220893574</v>
      </c>
    </row>
    <row r="661" spans="1:7" s="167" customFormat="1" ht="16.5" hidden="1">
      <c r="A661" s="142" t="s">
        <v>431</v>
      </c>
      <c r="B661" s="186"/>
      <c r="C661" s="186"/>
      <c r="D661" s="186"/>
      <c r="E661" s="186"/>
      <c r="F661" s="71"/>
      <c r="G661" s="187"/>
    </row>
    <row r="662" spans="1:7" s="167" customFormat="1" ht="16.5" hidden="1">
      <c r="A662" s="142" t="s">
        <v>432</v>
      </c>
      <c r="B662" s="186"/>
      <c r="C662" s="186"/>
      <c r="D662" s="186"/>
      <c r="E662" s="186"/>
      <c r="F662" s="71"/>
      <c r="G662" s="187"/>
    </row>
    <row r="663" spans="1:7" s="167" customFormat="1" ht="16.5" hidden="1">
      <c r="A663" s="142" t="s">
        <v>433</v>
      </c>
      <c r="B663" s="186"/>
      <c r="C663" s="186"/>
      <c r="D663" s="186"/>
      <c r="E663" s="186"/>
      <c r="F663" s="71"/>
      <c r="G663" s="187"/>
    </row>
    <row r="664" spans="1:7" s="167" customFormat="1" ht="16.5" hidden="1">
      <c r="A664" s="142" t="s">
        <v>1071</v>
      </c>
      <c r="B664" s="186"/>
      <c r="C664" s="186"/>
      <c r="D664" s="186"/>
      <c r="E664" s="186"/>
      <c r="F664" s="71">
        <v>284025600</v>
      </c>
      <c r="G664" s="187"/>
    </row>
    <row r="665" spans="1:7" s="167" customFormat="1" ht="16.5" hidden="1">
      <c r="A665" s="142" t="s">
        <v>8</v>
      </c>
      <c r="B665" s="186"/>
      <c r="C665" s="186"/>
      <c r="D665" s="186"/>
      <c r="E665" s="186"/>
      <c r="F665" s="71">
        <f>G669</f>
        <v>0</v>
      </c>
      <c r="G665" s="187">
        <v>1220893574</v>
      </c>
    </row>
    <row r="666" spans="1:7" ht="17.25" hidden="1">
      <c r="A666" s="20" t="s">
        <v>303</v>
      </c>
      <c r="B666" s="173"/>
      <c r="C666" s="173"/>
      <c r="D666" s="173"/>
      <c r="E666" s="173"/>
      <c r="F666" s="8">
        <f>SUM(F667:F669)</f>
        <v>971955569</v>
      </c>
      <c r="G666" s="43">
        <f>SUM(G667:G669)</f>
        <v>3895800</v>
      </c>
    </row>
    <row r="667" spans="1:7" s="167" customFormat="1" ht="16.5" hidden="1">
      <c r="A667" s="142" t="s">
        <v>434</v>
      </c>
      <c r="B667" s="186"/>
      <c r="C667" s="186"/>
      <c r="D667" s="186"/>
      <c r="E667" s="186"/>
      <c r="F667" s="71">
        <f>F584</f>
        <v>938254125</v>
      </c>
      <c r="G667" s="187">
        <v>0</v>
      </c>
    </row>
    <row r="668" spans="1:7" s="167" customFormat="1" ht="16.5" hidden="1">
      <c r="A668" s="142" t="s">
        <v>435</v>
      </c>
      <c r="B668" s="186"/>
      <c r="C668" s="186"/>
      <c r="D668" s="186"/>
      <c r="E668" s="186"/>
      <c r="F668" s="71">
        <f>F582</f>
        <v>33701444</v>
      </c>
      <c r="G668" s="187">
        <f>G582</f>
        <v>3895800</v>
      </c>
    </row>
    <row r="669" spans="1:7" s="167" customFormat="1" ht="16.5" hidden="1">
      <c r="A669" s="142" t="s">
        <v>436</v>
      </c>
      <c r="B669" s="186"/>
      <c r="C669" s="186"/>
      <c r="D669" s="186"/>
      <c r="E669" s="186"/>
      <c r="F669" s="71">
        <f>F587</f>
        <v>0</v>
      </c>
      <c r="G669" s="71">
        <f>G587</f>
        <v>0</v>
      </c>
    </row>
    <row r="670" spans="1:7" ht="17.25" hidden="1">
      <c r="A670" s="20" t="s">
        <v>437</v>
      </c>
      <c r="B670" s="173"/>
      <c r="C670" s="173"/>
      <c r="D670" s="173"/>
      <c r="E670" s="173"/>
      <c r="F670" s="8">
        <f>F658+F660-F666</f>
        <v>164049892041</v>
      </c>
      <c r="G670" s="43">
        <f>G658+G660-G666</f>
        <v>92933328585</v>
      </c>
    </row>
    <row r="671" spans="1:7" ht="17.25" hidden="1">
      <c r="A671" s="20" t="s">
        <v>304</v>
      </c>
      <c r="B671" s="173"/>
      <c r="C671" s="173"/>
      <c r="D671" s="173"/>
      <c r="E671" s="173"/>
      <c r="F671" s="8"/>
      <c r="G671" s="43"/>
    </row>
    <row r="672" spans="1:7" ht="17.25" hidden="1">
      <c r="A672" s="20" t="s">
        <v>406</v>
      </c>
      <c r="B672" s="173"/>
      <c r="C672" s="173"/>
      <c r="D672" s="173"/>
      <c r="E672" s="173"/>
      <c r="F672" s="8" t="e">
        <f>#REF!</f>
        <v>#REF!</v>
      </c>
      <c r="G672" s="43"/>
    </row>
    <row r="673" spans="1:7" ht="17.25" hidden="1">
      <c r="A673" s="20" t="s">
        <v>407</v>
      </c>
      <c r="B673" s="173"/>
      <c r="C673" s="173"/>
      <c r="D673" s="173"/>
      <c r="E673" s="173"/>
      <c r="F673" s="8">
        <f>ROUND((125234421527+F664)*15%,0)</f>
        <v>18827767069</v>
      </c>
      <c r="G673" s="43">
        <f>ROUND((G670)*15%,0)</f>
        <v>13939999288</v>
      </c>
    </row>
    <row r="674" spans="1:7" ht="17.25" hidden="1">
      <c r="A674" s="20" t="s">
        <v>307</v>
      </c>
      <c r="B674" s="173"/>
      <c r="C674" s="173"/>
      <c r="D674" s="173"/>
      <c r="E674" s="173"/>
      <c r="F674" s="8">
        <f>F673</f>
        <v>18827767069</v>
      </c>
      <c r="G674" s="8">
        <f>ROUND((G670)*15%,0)</f>
        <v>13939999288</v>
      </c>
    </row>
    <row r="675" spans="1:7" ht="17.25" hidden="1">
      <c r="A675" s="20" t="s">
        <v>306</v>
      </c>
      <c r="B675" s="173"/>
      <c r="C675" s="173"/>
      <c r="D675" s="173"/>
      <c r="E675" s="173"/>
      <c r="F675" s="8" t="e">
        <f>F672+F673-F674</f>
        <v>#REF!</v>
      </c>
      <c r="G675" s="8">
        <f>G673-G674</f>
        <v>0</v>
      </c>
    </row>
    <row r="676" spans="1:7" ht="17.25" hidden="1">
      <c r="A676" s="204" t="s">
        <v>305</v>
      </c>
      <c r="B676" s="173"/>
      <c r="C676" s="173"/>
      <c r="D676" s="173"/>
      <c r="E676" s="173"/>
      <c r="F676" s="8"/>
      <c r="G676" s="43"/>
    </row>
    <row r="677" spans="1:7" ht="17.25" hidden="1">
      <c r="A677" s="20" t="s">
        <v>438</v>
      </c>
      <c r="B677" s="173"/>
      <c r="C677" s="173"/>
      <c r="D677" s="173"/>
      <c r="E677" s="173"/>
      <c r="F677" s="8" t="e">
        <f>F658-F675</f>
        <v>#REF!</v>
      </c>
      <c r="G677" s="43">
        <f>G658-G675</f>
        <v>91716330811</v>
      </c>
    </row>
    <row r="678" spans="1:7" ht="17.25" hidden="1">
      <c r="A678" s="20" t="s">
        <v>439</v>
      </c>
      <c r="B678" s="173"/>
      <c r="C678" s="173"/>
      <c r="D678" s="173"/>
      <c r="E678" s="173"/>
      <c r="F678" s="8" t="e">
        <f>F677+G669</f>
        <v>#REF!</v>
      </c>
      <c r="G678" s="8">
        <f>G679+G681+G686+G689+G690+G691</f>
        <v>92937224385</v>
      </c>
    </row>
    <row r="679" spans="1:7" ht="17.25" hidden="1">
      <c r="A679" s="20" t="s">
        <v>440</v>
      </c>
      <c r="B679" s="173"/>
      <c r="C679" s="173"/>
      <c r="D679" s="173"/>
      <c r="E679" s="173"/>
      <c r="F679" s="8">
        <v>0</v>
      </c>
      <c r="G679" s="43">
        <v>90000000000</v>
      </c>
    </row>
    <row r="680" spans="1:7" ht="17.25" hidden="1">
      <c r="A680" s="20" t="s">
        <v>441</v>
      </c>
      <c r="B680" s="173"/>
      <c r="C680" s="173"/>
      <c r="D680" s="173"/>
      <c r="E680" s="173"/>
      <c r="F680" s="8" t="e">
        <f>F677+G669-F679-F681-F686-F689-F690</f>
        <v>#REF!</v>
      </c>
      <c r="G680" s="43">
        <v>0</v>
      </c>
    </row>
    <row r="681" spans="1:7" ht="17.25" hidden="1">
      <c r="A681" s="20" t="s">
        <v>442</v>
      </c>
      <c r="B681" s="173"/>
      <c r="C681" s="173"/>
      <c r="D681" s="173"/>
      <c r="E681" s="173"/>
      <c r="F681" s="8">
        <v>6789623893</v>
      </c>
      <c r="G681" s="43">
        <v>8420669078</v>
      </c>
    </row>
    <row r="682" spans="1:7" ht="17.25" hidden="1">
      <c r="A682" s="20" t="s">
        <v>443</v>
      </c>
      <c r="B682" s="173"/>
      <c r="C682" s="173"/>
      <c r="D682" s="173"/>
      <c r="E682" s="173"/>
      <c r="F682" s="8">
        <f>SUM(F683:F684)</f>
        <v>0</v>
      </c>
      <c r="G682" s="43">
        <f>SUM(G683:G684)</f>
        <v>0</v>
      </c>
    </row>
    <row r="683" spans="1:7" s="167" customFormat="1" ht="16.5" hidden="1">
      <c r="A683" s="142" t="s">
        <v>444</v>
      </c>
      <c r="B683" s="186"/>
      <c r="C683" s="186"/>
      <c r="D683" s="186"/>
      <c r="E683" s="186"/>
      <c r="F683" s="71">
        <v>0</v>
      </c>
      <c r="G683" s="187">
        <v>0</v>
      </c>
    </row>
    <row r="684" spans="1:7" s="167" customFormat="1" ht="16.5" hidden="1">
      <c r="A684" s="142" t="s">
        <v>445</v>
      </c>
      <c r="B684" s="186"/>
      <c r="C684" s="186"/>
      <c r="D684" s="186"/>
      <c r="E684" s="186"/>
      <c r="F684" s="71">
        <v>0</v>
      </c>
      <c r="G684" s="187">
        <v>0</v>
      </c>
    </row>
    <row r="685" spans="1:7" ht="17.25" hidden="1">
      <c r="A685" s="20" t="s">
        <v>446</v>
      </c>
      <c r="B685" s="173"/>
      <c r="C685" s="173"/>
      <c r="D685" s="173"/>
      <c r="E685" s="173"/>
      <c r="F685" s="8"/>
      <c r="G685" s="43"/>
    </row>
    <row r="686" spans="1:7" ht="17.25" hidden="1">
      <c r="A686" s="20" t="s">
        <v>447</v>
      </c>
      <c r="B686" s="173"/>
      <c r="C686" s="173"/>
      <c r="D686" s="173"/>
      <c r="E686" s="173"/>
      <c r="F686" s="8">
        <f>SUM(F687:F688)</f>
        <v>18827767069</v>
      </c>
      <c r="G686" s="43">
        <f>SUM(G687:G688)</f>
        <v>-22324782850</v>
      </c>
    </row>
    <row r="687" spans="1:7" s="167" customFormat="1" ht="16.5" hidden="1">
      <c r="A687" s="142" t="s">
        <v>209</v>
      </c>
      <c r="B687" s="186"/>
      <c r="C687" s="186"/>
      <c r="D687" s="186"/>
      <c r="E687" s="186"/>
      <c r="F687" s="71">
        <f>F674</f>
        <v>18827767069</v>
      </c>
      <c r="G687" s="187">
        <f>G674</f>
        <v>13939999288</v>
      </c>
    </row>
    <row r="688" spans="1:7" s="167" customFormat="1" ht="16.5" hidden="1">
      <c r="A688" s="142" t="s">
        <v>210</v>
      </c>
      <c r="B688" s="186"/>
      <c r="C688" s="186"/>
      <c r="D688" s="186"/>
      <c r="E688" s="186"/>
      <c r="F688" s="71">
        <v>0</v>
      </c>
      <c r="G688" s="187">
        <f>G658+G660-G669-G675-G679-G681-G687-G689-G690</f>
        <v>-36264782138</v>
      </c>
    </row>
    <row r="689" spans="1:7" ht="17.25" hidden="1">
      <c r="A689" s="20" t="s">
        <v>448</v>
      </c>
      <c r="B689" s="173"/>
      <c r="C689" s="173"/>
      <c r="D689" s="173"/>
      <c r="E689" s="173"/>
      <c r="F689" s="8">
        <f>ROUND(13579247786/3*2,0)</f>
        <v>9052831857</v>
      </c>
      <c r="G689" s="43">
        <v>11227558771</v>
      </c>
    </row>
    <row r="690" spans="1:7" ht="17.25" hidden="1">
      <c r="A690" s="20" t="s">
        <v>449</v>
      </c>
      <c r="B690" s="173"/>
      <c r="C690" s="173"/>
      <c r="D690" s="173"/>
      <c r="E690" s="173"/>
      <c r="F690" s="8">
        <f>ROUND(13579247786/3*1,0)</f>
        <v>4526415929</v>
      </c>
      <c r="G690" s="43">
        <v>5613779386</v>
      </c>
    </row>
    <row r="691" spans="1:7" ht="17.25" hidden="1">
      <c r="A691" s="20" t="s">
        <v>408</v>
      </c>
      <c r="B691" s="302"/>
      <c r="C691" s="302"/>
      <c r="D691" s="302"/>
      <c r="E691" s="302"/>
      <c r="F691" s="303">
        <v>0</v>
      </c>
      <c r="G691" s="304">
        <f>G669</f>
        <v>0</v>
      </c>
    </row>
    <row r="692" spans="1:7" s="167" customFormat="1" ht="15">
      <c r="A692" s="205"/>
      <c r="B692" s="206"/>
      <c r="C692" s="206"/>
      <c r="D692" s="206"/>
      <c r="E692" s="206"/>
      <c r="F692" s="17"/>
      <c r="G692" s="207"/>
    </row>
    <row r="693" spans="1:7" s="167" customFormat="1" ht="21.75" customHeight="1" hidden="1">
      <c r="A693" s="166" t="s">
        <v>1002</v>
      </c>
      <c r="B693" s="209"/>
      <c r="C693" s="209"/>
      <c r="D693" s="209"/>
      <c r="E693" s="209"/>
      <c r="F693" s="24"/>
      <c r="G693" s="209"/>
    </row>
    <row r="694" spans="1:7" s="167" customFormat="1" ht="18.75" customHeight="1" hidden="1">
      <c r="A694" s="98" t="s">
        <v>1003</v>
      </c>
      <c r="B694" s="209"/>
      <c r="C694" s="209"/>
      <c r="D694" s="209"/>
      <c r="E694" s="209"/>
      <c r="F694" s="24"/>
      <c r="G694" s="209"/>
    </row>
    <row r="695" spans="1:7" s="167" customFormat="1" ht="18.75" customHeight="1" hidden="1">
      <c r="A695" s="98" t="s">
        <v>1004</v>
      </c>
      <c r="B695" s="209"/>
      <c r="C695" s="209"/>
      <c r="D695" s="209">
        <v>31841091786</v>
      </c>
      <c r="E695" s="209"/>
      <c r="F695" s="24"/>
      <c r="G695" s="209"/>
    </row>
    <row r="696" spans="1:7" s="167" customFormat="1" ht="18.75" customHeight="1" hidden="1">
      <c r="A696" s="98" t="s">
        <v>1005</v>
      </c>
      <c r="B696" s="209"/>
      <c r="C696" s="209"/>
      <c r="D696" s="209">
        <v>11101172077</v>
      </c>
      <c r="E696" s="209"/>
      <c r="F696" s="24"/>
      <c r="G696" s="209"/>
    </row>
    <row r="697" spans="1:7" s="167" customFormat="1" ht="18.75" customHeight="1" hidden="1">
      <c r="A697" s="98" t="s">
        <v>1006</v>
      </c>
      <c r="B697" s="209"/>
      <c r="C697" s="209"/>
      <c r="D697" s="209">
        <f>D695-D696</f>
        <v>20739919709</v>
      </c>
      <c r="E697" s="209"/>
      <c r="F697" s="24"/>
      <c r="G697" s="209"/>
    </row>
    <row r="698" spans="1:7" s="167" customFormat="1" ht="18.75" customHeight="1" hidden="1">
      <c r="A698" s="98" t="s">
        <v>1007</v>
      </c>
      <c r="B698" s="209"/>
      <c r="C698" s="209"/>
      <c r="D698" s="305">
        <f>ROUND(D697*25%,0)+1</f>
        <v>5184979928</v>
      </c>
      <c r="E698" s="209" t="s">
        <v>1008</v>
      </c>
      <c r="F698" s="24"/>
      <c r="G698" s="209"/>
    </row>
    <row r="699" spans="1:7" s="167" customFormat="1" ht="18.75" customHeight="1" hidden="1">
      <c r="A699" s="98" t="s">
        <v>1009</v>
      </c>
      <c r="B699" s="209"/>
      <c r="C699" s="209"/>
      <c r="D699" s="209"/>
      <c r="E699" s="209"/>
      <c r="F699" s="24"/>
      <c r="G699" s="209"/>
    </row>
    <row r="700" spans="1:7" s="167" customFormat="1" ht="18.75" customHeight="1" hidden="1">
      <c r="A700" s="98" t="s">
        <v>1010</v>
      </c>
      <c r="B700" s="209"/>
      <c r="C700" s="209"/>
      <c r="D700" s="209"/>
      <c r="E700" s="209"/>
      <c r="F700" s="24"/>
      <c r="G700" s="209"/>
    </row>
    <row r="701" spans="1:7" s="167" customFormat="1" ht="18.75" customHeight="1" hidden="1">
      <c r="A701" s="98" t="s">
        <v>1011</v>
      </c>
      <c r="B701" s="209"/>
      <c r="C701" s="209"/>
      <c r="D701" s="209"/>
      <c r="E701" s="209"/>
      <c r="F701" s="24"/>
      <c r="G701" s="209"/>
    </row>
    <row r="702" spans="1:7" s="167" customFormat="1" ht="15">
      <c r="A702" s="98"/>
      <c r="B702" s="209"/>
      <c r="C702" s="209"/>
      <c r="D702" s="209"/>
      <c r="E702" s="209"/>
      <c r="F702" s="24"/>
      <c r="G702" s="209"/>
    </row>
    <row r="703" ht="15.75">
      <c r="F703" s="97" t="s">
        <v>617</v>
      </c>
    </row>
    <row r="704" spans="1:7" s="6" customFormat="1" ht="15.75">
      <c r="A704" s="412" t="s">
        <v>644</v>
      </c>
      <c r="B704" s="412"/>
      <c r="C704" s="80"/>
      <c r="D704" s="96" t="s">
        <v>645</v>
      </c>
      <c r="E704" s="80"/>
      <c r="F704" s="96" t="s">
        <v>771</v>
      </c>
      <c r="G704" s="80"/>
    </row>
    <row r="705" ht="15"/>
    <row r="706" ht="15"/>
    <row r="707" ht="15"/>
    <row r="708" ht="15"/>
    <row r="709" spans="1:2" ht="15">
      <c r="A709" s="408" t="s">
        <v>1035</v>
      </c>
      <c r="B709" s="408"/>
    </row>
    <row r="929" ht="15"/>
    <row r="930" ht="15"/>
    <row r="931" ht="15"/>
    <row r="932" ht="15"/>
    <row r="948" ht="15"/>
    <row r="949" ht="15"/>
    <row r="950" ht="15"/>
  </sheetData>
  <sheetProtection/>
  <mergeCells count="25">
    <mergeCell ref="F20:G20"/>
    <mergeCell ref="F3:G3"/>
    <mergeCell ref="A6:G6"/>
    <mergeCell ref="G474:G475"/>
    <mergeCell ref="A704:B704"/>
    <mergeCell ref="A709:B709"/>
    <mergeCell ref="F1:G1"/>
    <mergeCell ref="F2:G2"/>
    <mergeCell ref="G260:G261"/>
    <mergeCell ref="A4:G4"/>
    <mergeCell ref="A5:G5"/>
    <mergeCell ref="A290:A291"/>
    <mergeCell ref="B290:B291"/>
    <mergeCell ref="F290:F291"/>
    <mergeCell ref="G290:G291"/>
    <mergeCell ref="F21:G21"/>
    <mergeCell ref="F22:G22"/>
    <mergeCell ref="A260:A261"/>
    <mergeCell ref="A354:A355"/>
    <mergeCell ref="E449:G449"/>
    <mergeCell ref="B449:D449"/>
    <mergeCell ref="A449:A452"/>
    <mergeCell ref="A317:A318"/>
    <mergeCell ref="F317:F318"/>
    <mergeCell ref="G317:G318"/>
  </mergeCells>
  <printOptions horizontalCentered="1"/>
  <pageMargins left="0" right="0" top="0.75" bottom="0.5" header="0" footer="0"/>
  <pageSetup horizontalDpi="600" verticalDpi="600" orientation="portrait" paperSize="9" scale="70" r:id="rId3"/>
  <legacyDrawing r:id="rId2"/>
</worksheet>
</file>

<file path=xl/worksheets/sheet6.xml><?xml version="1.0" encoding="utf-8"?>
<worksheet xmlns="http://schemas.openxmlformats.org/spreadsheetml/2006/main" xmlns:r="http://schemas.openxmlformats.org/officeDocument/2006/relationships">
  <dimension ref="A1:L127"/>
  <sheetViews>
    <sheetView zoomScale="75" zoomScaleNormal="75" zoomScalePageLayoutView="0" workbookViewId="0" topLeftCell="A53">
      <selection activeCell="O69" sqref="O69"/>
    </sheetView>
  </sheetViews>
  <sheetFormatPr defaultColWidth="8.796875" defaultRowHeight="15"/>
  <cols>
    <col min="1" max="1" width="48.3984375" style="63" customWidth="1"/>
    <col min="2" max="2" width="8.3984375" style="63" customWidth="1"/>
    <col min="3" max="3" width="7.3984375" style="63" customWidth="1"/>
    <col min="4" max="5" width="17.59765625" style="63" customWidth="1"/>
    <col min="6" max="6" width="20" style="94" hidden="1" customWidth="1"/>
    <col min="7" max="7" width="16.19921875" style="94" hidden="1" customWidth="1"/>
    <col min="8" max="8" width="17.8984375" style="63" hidden="1" customWidth="1"/>
    <col min="9" max="10" width="0" style="63" hidden="1" customWidth="1"/>
    <col min="11" max="11" width="18.09765625" style="63" hidden="1" customWidth="1"/>
    <col min="12" max="13" width="0" style="63" hidden="1" customWidth="1"/>
    <col min="14" max="16384" width="9" style="63" customWidth="1"/>
  </cols>
  <sheetData>
    <row r="1" spans="1:5" ht="15">
      <c r="A1" s="109" t="s">
        <v>675</v>
      </c>
      <c r="D1" s="409" t="s">
        <v>262</v>
      </c>
      <c r="E1" s="409"/>
    </row>
    <row r="2" spans="1:7" s="31" customFormat="1" ht="15">
      <c r="A2" s="101" t="s">
        <v>632</v>
      </c>
      <c r="D2" s="409" t="s">
        <v>260</v>
      </c>
      <c r="E2" s="409"/>
      <c r="F2" s="90"/>
      <c r="G2" s="90"/>
    </row>
    <row r="3" spans="1:7" s="31" customFormat="1" ht="15">
      <c r="A3" s="101" t="s">
        <v>261</v>
      </c>
      <c r="D3" s="409" t="s">
        <v>258</v>
      </c>
      <c r="E3" s="409"/>
      <c r="F3" s="90"/>
      <c r="G3" s="90"/>
    </row>
    <row r="4" spans="1:7" s="31" customFormat="1" ht="33.75" customHeight="1">
      <c r="A4" s="99" t="s">
        <v>338</v>
      </c>
      <c r="B4" s="50"/>
      <c r="C4" s="50"/>
      <c r="D4" s="50"/>
      <c r="E4" s="50"/>
      <c r="F4" s="90"/>
      <c r="G4" s="90"/>
    </row>
    <row r="5" spans="1:7" s="52" customFormat="1" ht="24" customHeight="1">
      <c r="A5" s="100" t="s">
        <v>1166</v>
      </c>
      <c r="B5" s="51"/>
      <c r="C5" s="51"/>
      <c r="D5" s="51"/>
      <c r="E5" s="51"/>
      <c r="F5" s="85"/>
      <c r="G5" s="85"/>
    </row>
    <row r="6" spans="1:7" s="22" customFormat="1" ht="19.5" customHeight="1">
      <c r="A6" s="424"/>
      <c r="B6" s="424"/>
      <c r="C6" s="424"/>
      <c r="D6" s="424"/>
      <c r="E6" s="424"/>
      <c r="F6" s="88"/>
      <c r="G6" s="88"/>
    </row>
    <row r="7" spans="1:8" s="52" customFormat="1" ht="19.5" customHeight="1">
      <c r="A7" s="53" t="s">
        <v>339</v>
      </c>
      <c r="B7" s="54" t="s">
        <v>340</v>
      </c>
      <c r="C7" s="54" t="s">
        <v>627</v>
      </c>
      <c r="D7" s="55" t="s">
        <v>989</v>
      </c>
      <c r="E7" s="55" t="s">
        <v>341</v>
      </c>
      <c r="F7" s="85" t="s">
        <v>879</v>
      </c>
      <c r="G7" s="85" t="s">
        <v>880</v>
      </c>
      <c r="H7" s="55" t="s">
        <v>924</v>
      </c>
    </row>
    <row r="8" spans="1:8" s="22" customFormat="1" ht="19.5" customHeight="1">
      <c r="A8" s="1">
        <v>1</v>
      </c>
      <c r="B8" s="1">
        <v>2</v>
      </c>
      <c r="C8" s="1">
        <v>3</v>
      </c>
      <c r="D8" s="56">
        <v>4</v>
      </c>
      <c r="E8" s="56">
        <v>5</v>
      </c>
      <c r="F8" s="88"/>
      <c r="G8" s="88"/>
      <c r="H8" s="56" t="s">
        <v>925</v>
      </c>
    </row>
    <row r="9" spans="1:8" s="22" customFormat="1" ht="19.5" customHeight="1">
      <c r="A9" s="57" t="s">
        <v>772</v>
      </c>
      <c r="B9" s="13">
        <v>100</v>
      </c>
      <c r="C9" s="13"/>
      <c r="D9" s="4">
        <f>D11+D14+D17+D24+D27</f>
        <v>401949302974</v>
      </c>
      <c r="E9" s="4">
        <f>E11+E14+E17+E24+E27</f>
        <v>304843681372</v>
      </c>
      <c r="F9" s="88"/>
      <c r="G9" s="88"/>
      <c r="H9" s="218">
        <f>H11+H14+H17+H24+H27</f>
        <v>97105621602</v>
      </c>
    </row>
    <row r="10" spans="1:8" s="22" customFormat="1" ht="19.5" customHeight="1">
      <c r="A10" s="2" t="s">
        <v>584</v>
      </c>
      <c r="B10" s="26"/>
      <c r="C10" s="26"/>
      <c r="D10" s="15"/>
      <c r="E10" s="15"/>
      <c r="F10" s="88"/>
      <c r="G10" s="88"/>
      <c r="H10" s="15"/>
    </row>
    <row r="11" spans="1:8" s="22" customFormat="1" ht="19.5" customHeight="1">
      <c r="A11" s="2" t="s">
        <v>587</v>
      </c>
      <c r="B11" s="14">
        <v>110</v>
      </c>
      <c r="C11" s="14"/>
      <c r="D11" s="5">
        <f>SUM(D12:D13)</f>
        <v>282753319131</v>
      </c>
      <c r="E11" s="5">
        <f>SUM(E12:E13)</f>
        <v>245240326263</v>
      </c>
      <c r="F11" s="88"/>
      <c r="G11" s="88"/>
      <c r="H11" s="139">
        <f>SUM(H12:H13)</f>
        <v>37512992868</v>
      </c>
    </row>
    <row r="12" spans="1:8" s="22" customFormat="1" ht="19.5" customHeight="1">
      <c r="A12" s="15" t="s">
        <v>773</v>
      </c>
      <c r="B12" s="26">
        <v>111</v>
      </c>
      <c r="C12" s="26" t="s">
        <v>224</v>
      </c>
      <c r="D12" s="69">
        <f>'BIEU 02-Bang CDSPS '!L8+'BIEU 02-Bang CDSPS '!L13+'BIEU 02-Bang CDSPS '!L39-78376704215-169660000000</f>
        <v>19716614916</v>
      </c>
      <c r="E12" s="8">
        <f>'BIEU 02-Bang CDSPS '!D8+'BIEU 02-Bang CDSPS '!D13+'BIEU 02-Bang CDSPS '!D39</f>
        <v>10484066459</v>
      </c>
      <c r="F12" s="88" t="s">
        <v>881</v>
      </c>
      <c r="G12" s="88"/>
      <c r="H12" s="86">
        <f>D12-E12</f>
        <v>9232548457</v>
      </c>
    </row>
    <row r="13" spans="1:8" s="22" customFormat="1" ht="19.5" customHeight="1">
      <c r="A13" s="15" t="s">
        <v>774</v>
      </c>
      <c r="B13" s="26">
        <v>112</v>
      </c>
      <c r="C13" s="26" t="s">
        <v>225</v>
      </c>
      <c r="D13" s="8">
        <f>78376704215+169660000000+15000000000</f>
        <v>263036704215</v>
      </c>
      <c r="E13" s="8">
        <f>15800000000+218956259804</f>
        <v>234756259804</v>
      </c>
      <c r="F13" s="88" t="s">
        <v>588</v>
      </c>
      <c r="G13" s="88"/>
      <c r="H13" s="8">
        <f aca="true" t="shared" si="0" ref="H13:H76">D13-E13</f>
        <v>28280444411</v>
      </c>
    </row>
    <row r="14" spans="1:8" s="22" customFormat="1" ht="19.5" customHeight="1">
      <c r="A14" s="2" t="s">
        <v>600</v>
      </c>
      <c r="B14" s="14">
        <v>120</v>
      </c>
      <c r="C14" s="14"/>
      <c r="D14" s="5">
        <f>SUM(D15:D16)</f>
        <v>20841598250</v>
      </c>
      <c r="E14" s="5">
        <f>SUM(E15:E16)</f>
        <v>9296491150</v>
      </c>
      <c r="F14" s="88"/>
      <c r="G14" s="88"/>
      <c r="H14" s="139">
        <f>SUM(H15:H16)</f>
        <v>11545107100</v>
      </c>
    </row>
    <row r="15" spans="1:8" s="22" customFormat="1" ht="19.5" customHeight="1">
      <c r="A15" s="15" t="s">
        <v>775</v>
      </c>
      <c r="B15" s="26">
        <v>121</v>
      </c>
      <c r="C15" s="26"/>
      <c r="D15" s="69">
        <f>'BIEU 02-Bang CDSPS '!L43+'BIEU 02-Bang CDSPS '!L47-15000000000</f>
        <v>20841598250</v>
      </c>
      <c r="E15" s="8">
        <f>'BIEU 02-Bang CDSPS '!D43+'BIEU 02-Bang CDSPS '!D47-E13</f>
        <v>9296491150</v>
      </c>
      <c r="F15" s="88" t="s">
        <v>882</v>
      </c>
      <c r="G15" s="88"/>
      <c r="H15" s="86">
        <f t="shared" si="0"/>
        <v>11545107100</v>
      </c>
    </row>
    <row r="16" spans="1:8" s="22" customFormat="1" ht="19.5" customHeight="1">
      <c r="A16" s="15" t="s">
        <v>776</v>
      </c>
      <c r="B16" s="26">
        <v>129</v>
      </c>
      <c r="C16" s="26"/>
      <c r="D16" s="15"/>
      <c r="E16" s="15"/>
      <c r="F16" s="88"/>
      <c r="G16" s="88">
        <v>129</v>
      </c>
      <c r="H16" s="8">
        <f t="shared" si="0"/>
        <v>0</v>
      </c>
    </row>
    <row r="17" spans="1:8" s="22" customFormat="1" ht="19.5" customHeight="1">
      <c r="A17" s="2" t="s">
        <v>277</v>
      </c>
      <c r="B17" s="14">
        <v>130</v>
      </c>
      <c r="C17" s="14"/>
      <c r="D17" s="5">
        <f>SUM(D18:D23)</f>
        <v>38617683682</v>
      </c>
      <c r="E17" s="5">
        <f>SUM(E18:E23)</f>
        <v>10025378100</v>
      </c>
      <c r="F17" s="88"/>
      <c r="G17" s="88"/>
      <c r="H17" s="139">
        <f>SUM(H18:H23)</f>
        <v>28592305582</v>
      </c>
    </row>
    <row r="18" spans="1:8" s="22" customFormat="1" ht="19.5" customHeight="1">
      <c r="A18" s="15" t="s">
        <v>576</v>
      </c>
      <c r="B18" s="26">
        <v>131</v>
      </c>
      <c r="C18" s="26"/>
      <c r="D18" s="69">
        <f>'BIEU 02-Bang CDSPS '!L52</f>
        <v>22762937848</v>
      </c>
      <c r="E18" s="8">
        <f>'BIEU 02-Bang CDSPS '!D52</f>
        <v>3564390982</v>
      </c>
      <c r="F18" s="88">
        <v>131</v>
      </c>
      <c r="G18" s="88"/>
      <c r="H18" s="8">
        <f t="shared" si="0"/>
        <v>19198546866</v>
      </c>
    </row>
    <row r="19" spans="1:8" s="22" customFormat="1" ht="19.5" customHeight="1">
      <c r="A19" s="15" t="s">
        <v>342</v>
      </c>
      <c r="B19" s="26">
        <v>132</v>
      </c>
      <c r="C19" s="26"/>
      <c r="D19" s="69">
        <f>'BIEU 02-Bang CDSPS '!L158</f>
        <v>9221284847</v>
      </c>
      <c r="E19" s="8">
        <f>'BIEU 02-Bang CDSPS '!D158</f>
        <v>3210358438</v>
      </c>
      <c r="F19" s="88">
        <v>331</v>
      </c>
      <c r="G19" s="88"/>
      <c r="H19" s="8">
        <f t="shared" si="0"/>
        <v>6010926409</v>
      </c>
    </row>
    <row r="20" spans="1:8" s="22" customFormat="1" ht="19.5" customHeight="1">
      <c r="A20" s="15" t="s">
        <v>279</v>
      </c>
      <c r="B20" s="26">
        <v>133</v>
      </c>
      <c r="C20" s="26"/>
      <c r="D20" s="69">
        <v>0</v>
      </c>
      <c r="E20" s="69">
        <v>0</v>
      </c>
      <c r="F20" s="88">
        <v>136.336</v>
      </c>
      <c r="G20" s="88"/>
      <c r="H20" s="86">
        <f t="shared" si="0"/>
        <v>0</v>
      </c>
    </row>
    <row r="21" spans="1:8" s="22" customFormat="1" ht="19.5" customHeight="1">
      <c r="A21" s="15" t="s">
        <v>577</v>
      </c>
      <c r="B21" s="26">
        <v>134</v>
      </c>
      <c r="C21" s="26"/>
      <c r="D21" s="8"/>
      <c r="E21" s="8"/>
      <c r="F21" s="88">
        <v>337</v>
      </c>
      <c r="G21" s="88"/>
      <c r="H21" s="8">
        <f t="shared" si="0"/>
        <v>0</v>
      </c>
    </row>
    <row r="22" spans="1:8" s="22" customFormat="1" ht="19.5" customHeight="1">
      <c r="A22" s="15" t="s">
        <v>578</v>
      </c>
      <c r="B22" s="26">
        <v>135</v>
      </c>
      <c r="C22" s="26" t="s">
        <v>226</v>
      </c>
      <c r="D22" s="69">
        <f>'BIEU 02-Bang CDSPS '!L64+'BIEU 02-Bang CDSPS '!L185+'BIEU 02-Bang CDSPS '!L186+'BIEU 02-Bang CDSPS '!L187+'BIEU 02-Bang CDSPS '!L189+'BIEU 02-Bang CDSPS '!L190+'BIEU 02-Bang CDSPS '!L191+'BIEU 02-Bang CDSPS '!L192</f>
        <v>6633460987</v>
      </c>
      <c r="E22" s="69">
        <f>'BIEU 02-Bang CDSPS '!D64+'BIEU 02-Bang CDSPS '!D185+'BIEU 02-Bang CDSPS '!D186+'BIEU 02-Bang CDSPS '!D187+'BIEU 02-Bang CDSPS '!D189+'BIEU 02-Bang CDSPS '!D190+'BIEU 02-Bang CDSPS '!D191+'BIEU 02-Bang CDSPS '!D192</f>
        <v>3250628680</v>
      </c>
      <c r="F22" s="88" t="s">
        <v>590</v>
      </c>
      <c r="G22" s="88"/>
      <c r="H22" s="86">
        <f t="shared" si="0"/>
        <v>3382832307</v>
      </c>
    </row>
    <row r="23" spans="1:8" s="22" customFormat="1" ht="19.5" customHeight="1">
      <c r="A23" s="15" t="s">
        <v>280</v>
      </c>
      <c r="B23" s="26">
        <v>139</v>
      </c>
      <c r="C23" s="26"/>
      <c r="D23" s="86">
        <f>-'BIEU 02-Bang CDSPS '!N69</f>
        <v>0</v>
      </c>
      <c r="E23" s="86">
        <f>-'BIEU 02-Bang CDSPS '!F69</f>
        <v>0</v>
      </c>
      <c r="F23" s="88"/>
      <c r="G23" s="88">
        <v>139</v>
      </c>
      <c r="H23" s="8">
        <f t="shared" si="0"/>
        <v>0</v>
      </c>
    </row>
    <row r="24" spans="1:8" s="22" customFormat="1" ht="19.5" customHeight="1">
      <c r="A24" s="2" t="s">
        <v>601</v>
      </c>
      <c r="B24" s="14">
        <v>140</v>
      </c>
      <c r="C24" s="14"/>
      <c r="D24" s="5">
        <f>SUM(D25:D26)</f>
        <v>53021665821</v>
      </c>
      <c r="E24" s="5">
        <f>SUM(E25:E26)</f>
        <v>38863100841</v>
      </c>
      <c r="F24" s="88"/>
      <c r="G24" s="88"/>
      <c r="H24" s="139">
        <f>SUM(H25:H26)</f>
        <v>14158564980</v>
      </c>
    </row>
    <row r="25" spans="1:8" s="22" customFormat="1" ht="19.5" customHeight="1">
      <c r="A25" s="15" t="s">
        <v>579</v>
      </c>
      <c r="B25" s="26">
        <v>141</v>
      </c>
      <c r="C25" s="26" t="s">
        <v>227</v>
      </c>
      <c r="D25" s="69">
        <f>'BIEU 02-Bang CDSPS '!L77+'BIEU 02-Bang CDSPS '!L79+'BIEU 02-Bang CDSPS '!L85+'BIEU 02-Bang CDSPS '!L88+'BIEU 02-Bang CDSPS '!L99+'BIEU 02-Bang CDSPS '!L106+'BIEU 02-Bang CDSPS '!L110</f>
        <v>53021665821</v>
      </c>
      <c r="E25" s="8">
        <f>'BIEU 02-Bang CDSPS '!D77+'BIEU 02-Bang CDSPS '!D79+'BIEU 02-Bang CDSPS '!D85+'BIEU 02-Bang CDSPS '!D88+'BIEU 02-Bang CDSPS '!D99+'BIEU 02-Bang CDSPS '!D106+'BIEU 02-Bang CDSPS '!D110</f>
        <v>38863100841</v>
      </c>
      <c r="F25" s="88" t="s">
        <v>257</v>
      </c>
      <c r="G25" s="88"/>
      <c r="H25" s="86">
        <f t="shared" si="0"/>
        <v>14158564980</v>
      </c>
    </row>
    <row r="26" spans="1:8" s="22" customFormat="1" ht="19.5" customHeight="1">
      <c r="A26" s="15" t="s">
        <v>580</v>
      </c>
      <c r="B26" s="26">
        <v>149</v>
      </c>
      <c r="C26" s="26"/>
      <c r="D26" s="86">
        <f>-'BIEU 02-Bang CDSPS '!N115</f>
        <v>0</v>
      </c>
      <c r="E26" s="86">
        <f>-'BIEU 02-Bang CDSPS '!F115</f>
        <v>0</v>
      </c>
      <c r="F26" s="88"/>
      <c r="G26" s="88">
        <v>159</v>
      </c>
      <c r="H26" s="8">
        <f t="shared" si="0"/>
        <v>0</v>
      </c>
    </row>
    <row r="27" spans="1:8" s="22" customFormat="1" ht="19.5" customHeight="1">
      <c r="A27" s="2" t="s">
        <v>586</v>
      </c>
      <c r="B27" s="14">
        <v>150</v>
      </c>
      <c r="C27" s="14"/>
      <c r="D27" s="5">
        <f>SUM(D28:D31)</f>
        <v>6715036090</v>
      </c>
      <c r="E27" s="5">
        <f>SUM(E28:E31)</f>
        <v>1418385018</v>
      </c>
      <c r="F27" s="88"/>
      <c r="G27" s="88"/>
      <c r="H27" s="139">
        <f>SUM(H28:H31)</f>
        <v>5296651072</v>
      </c>
    </row>
    <row r="28" spans="1:8" s="22" customFormat="1" ht="19.5" customHeight="1">
      <c r="A28" s="15" t="s">
        <v>581</v>
      </c>
      <c r="B28" s="26">
        <v>151</v>
      </c>
      <c r="C28" s="26"/>
      <c r="D28" s="69">
        <f>'BIEU 02-Bang CDSPS '!L73</f>
        <v>5095732598</v>
      </c>
      <c r="E28" s="8">
        <f>'BIEU 02-Bang CDSPS '!D73</f>
        <v>0</v>
      </c>
      <c r="F28" s="88">
        <v>142</v>
      </c>
      <c r="G28" s="88"/>
      <c r="H28" s="86">
        <f t="shared" si="0"/>
        <v>5095732598</v>
      </c>
    </row>
    <row r="29" spans="1:8" s="22" customFormat="1" ht="19.5" customHeight="1">
      <c r="A29" s="15" t="s">
        <v>281</v>
      </c>
      <c r="B29" s="26">
        <v>152</v>
      </c>
      <c r="C29" s="26"/>
      <c r="D29" s="8">
        <f>'BIEU 02-Bang CDSPS '!L55</f>
        <v>0</v>
      </c>
      <c r="E29" s="8">
        <f>'BIEU 02-Bang CDSPS '!D55</f>
        <v>454449338</v>
      </c>
      <c r="F29" s="88">
        <v>133</v>
      </c>
      <c r="G29" s="88"/>
      <c r="H29" s="8">
        <f t="shared" si="0"/>
        <v>-454449338</v>
      </c>
    </row>
    <row r="30" spans="1:8" s="22" customFormat="1" ht="19.5" customHeight="1">
      <c r="A30" s="15" t="s">
        <v>282</v>
      </c>
      <c r="B30" s="26">
        <v>154</v>
      </c>
      <c r="C30" s="26" t="s">
        <v>228</v>
      </c>
      <c r="D30" s="69">
        <f>'BIEU 02-Bang CDSPS '!L162+'BIEU 02-Bang CDSPS '!L163+'BIEU 02-Bang CDSPS '!L164+'BIEU 02-Bang CDSPS '!L165+'BIEU 02-Bang CDSPS '!L166+'BIEU 02-Bang CDSPS '!L167+'BIEU 02-Bang CDSPS '!L168</f>
        <v>0</v>
      </c>
      <c r="E30" s="8">
        <f>'BIEU 02-Bang CDSPS '!D162+'BIEU 02-Bang CDSPS '!D163+'BIEU 02-Bang CDSPS '!D164++'BIEU 02-Bang CDSPS '!D165+'BIEU 02-Bang CDSPS '!D166+'BIEU 02-Bang CDSPS '!D167+'BIEU 02-Bang CDSPS '!D168</f>
        <v>0</v>
      </c>
      <c r="F30" s="88">
        <v>333</v>
      </c>
      <c r="G30" s="88"/>
      <c r="H30" s="86">
        <f t="shared" si="0"/>
        <v>0</v>
      </c>
    </row>
    <row r="31" spans="1:8" s="22" customFormat="1" ht="19.5" customHeight="1">
      <c r="A31" s="15" t="s">
        <v>283</v>
      </c>
      <c r="B31" s="26">
        <v>158</v>
      </c>
      <c r="C31" s="26"/>
      <c r="D31" s="8">
        <f>'BIEU 02-Bang CDSPS '!L71</f>
        <v>1619303492</v>
      </c>
      <c r="E31" s="8">
        <f>'BIEU 02-Bang CDSPS '!D71</f>
        <v>963935680</v>
      </c>
      <c r="F31" s="88" t="s">
        <v>589</v>
      </c>
      <c r="G31" s="88"/>
      <c r="H31" s="8">
        <f t="shared" si="0"/>
        <v>655367812</v>
      </c>
    </row>
    <row r="32" spans="1:8" s="22" customFormat="1" ht="19.5" customHeight="1">
      <c r="A32" s="2" t="s">
        <v>582</v>
      </c>
      <c r="B32" s="14">
        <v>200</v>
      </c>
      <c r="C32" s="14"/>
      <c r="D32" s="5">
        <f>D34+D40+D51+D54+D59</f>
        <v>473505142824</v>
      </c>
      <c r="E32" s="5">
        <f>E34+E40+E51+E54+E59</f>
        <v>486003950157</v>
      </c>
      <c r="F32" s="88"/>
      <c r="G32" s="88"/>
      <c r="H32" s="5">
        <f>H34+H40+H51+H54+H59</f>
        <v>-12498807333</v>
      </c>
    </row>
    <row r="33" spans="1:8" s="22" customFormat="1" ht="19.5" customHeight="1">
      <c r="A33" s="2" t="s">
        <v>583</v>
      </c>
      <c r="B33" s="26"/>
      <c r="C33" s="26"/>
      <c r="D33" s="15"/>
      <c r="E33" s="15"/>
      <c r="F33" s="88"/>
      <c r="G33" s="88"/>
      <c r="H33" s="8">
        <f t="shared" si="0"/>
        <v>0</v>
      </c>
    </row>
    <row r="34" spans="1:8" s="22" customFormat="1" ht="19.5" customHeight="1">
      <c r="A34" s="2" t="s">
        <v>710</v>
      </c>
      <c r="B34" s="14">
        <v>210</v>
      </c>
      <c r="C34" s="14"/>
      <c r="D34" s="5">
        <f>SUM(D35:D39)</f>
        <v>0</v>
      </c>
      <c r="E34" s="5">
        <f>SUM(E35:E39)</f>
        <v>0</v>
      </c>
      <c r="F34" s="88"/>
      <c r="G34" s="88"/>
      <c r="H34" s="5">
        <f>SUM(H35:H39)</f>
        <v>0</v>
      </c>
    </row>
    <row r="35" spans="1:8" s="22" customFormat="1" ht="19.5" customHeight="1">
      <c r="A35" s="15" t="s">
        <v>602</v>
      </c>
      <c r="B35" s="26">
        <v>211</v>
      </c>
      <c r="C35" s="26"/>
      <c r="D35" s="8"/>
      <c r="E35" s="8"/>
      <c r="F35" s="88" t="s">
        <v>591</v>
      </c>
      <c r="G35" s="88"/>
      <c r="H35" s="8">
        <f t="shared" si="0"/>
        <v>0</v>
      </c>
    </row>
    <row r="36" spans="1:8" s="22" customFormat="1" ht="19.5" customHeight="1">
      <c r="A36" s="15" t="s">
        <v>284</v>
      </c>
      <c r="B36" s="26">
        <v>212</v>
      </c>
      <c r="C36" s="26"/>
      <c r="D36" s="8">
        <f>'BIEU 02-Bang CDSPS '!L61</f>
        <v>0</v>
      </c>
      <c r="E36" s="8">
        <f>'BIEU 02-Bang CDSPS '!D61</f>
        <v>0</v>
      </c>
      <c r="F36" s="88">
        <v>1361</v>
      </c>
      <c r="G36" s="88"/>
      <c r="H36" s="8">
        <f t="shared" si="0"/>
        <v>0</v>
      </c>
    </row>
    <row r="37" spans="1:8" s="22" customFormat="1" ht="19.5" customHeight="1">
      <c r="A37" s="15" t="s">
        <v>285</v>
      </c>
      <c r="B37" s="26">
        <v>213</v>
      </c>
      <c r="C37" s="26" t="s">
        <v>229</v>
      </c>
      <c r="D37" s="8"/>
      <c r="E37" s="8"/>
      <c r="F37" s="88" t="s">
        <v>592</v>
      </c>
      <c r="G37" s="88"/>
      <c r="H37" s="8">
        <f t="shared" si="0"/>
        <v>0</v>
      </c>
    </row>
    <row r="38" spans="1:8" s="22" customFormat="1" ht="19.5" customHeight="1">
      <c r="A38" s="15" t="s">
        <v>605</v>
      </c>
      <c r="B38" s="26">
        <v>218</v>
      </c>
      <c r="C38" s="26" t="s">
        <v>230</v>
      </c>
      <c r="D38" s="8">
        <v>0</v>
      </c>
      <c r="E38" s="8">
        <v>0</v>
      </c>
      <c r="F38" s="88" t="s">
        <v>593</v>
      </c>
      <c r="G38" s="88"/>
      <c r="H38" s="8">
        <f t="shared" si="0"/>
        <v>0</v>
      </c>
    </row>
    <row r="39" spans="1:8" s="22" customFormat="1" ht="19.5" customHeight="1">
      <c r="A39" s="15" t="s">
        <v>606</v>
      </c>
      <c r="B39" s="26">
        <v>219</v>
      </c>
      <c r="C39" s="26"/>
      <c r="D39" s="15"/>
      <c r="E39" s="15"/>
      <c r="F39" s="88"/>
      <c r="G39" s="88" t="s">
        <v>594</v>
      </c>
      <c r="H39" s="8">
        <f t="shared" si="0"/>
        <v>0</v>
      </c>
    </row>
    <row r="40" spans="1:8" s="22" customFormat="1" ht="19.5" customHeight="1">
      <c r="A40" s="2" t="s">
        <v>585</v>
      </c>
      <c r="B40" s="14">
        <v>220</v>
      </c>
      <c r="C40" s="14"/>
      <c r="D40" s="5">
        <f>D41+D44+D47+D50</f>
        <v>316871155753</v>
      </c>
      <c r="E40" s="5">
        <f>E41+E44+E47+E50</f>
        <v>323606433219</v>
      </c>
      <c r="F40" s="88"/>
      <c r="G40" s="88"/>
      <c r="H40" s="139">
        <f>H41+H44+H47+H50</f>
        <v>-6735277466</v>
      </c>
    </row>
    <row r="41" spans="1:8" s="22" customFormat="1" ht="19.5" customHeight="1">
      <c r="A41" s="15" t="s">
        <v>343</v>
      </c>
      <c r="B41" s="26">
        <v>221</v>
      </c>
      <c r="C41" s="26" t="s">
        <v>231</v>
      </c>
      <c r="D41" s="8">
        <f>SUM(D42:D43)</f>
        <v>244049251342</v>
      </c>
      <c r="E41" s="8">
        <f>SUM(E42:E43)</f>
        <v>259820490677</v>
      </c>
      <c r="F41" s="88"/>
      <c r="G41" s="88"/>
      <c r="H41" s="86">
        <f>SUM(H42:H43)</f>
        <v>-15771239335</v>
      </c>
    </row>
    <row r="42" spans="1:8" s="22" customFormat="1" ht="19.5" customHeight="1">
      <c r="A42" s="15" t="s">
        <v>344</v>
      </c>
      <c r="B42" s="26">
        <v>222</v>
      </c>
      <c r="C42" s="26"/>
      <c r="D42" s="69">
        <f>'BIEU 02-Bang CDSPS '!L120</f>
        <v>424547787265</v>
      </c>
      <c r="E42" s="8">
        <f>'BIEU 02-Bang CDSPS '!D120+'BIEU 02-Bang CDSPS '!D124</f>
        <v>434411279221</v>
      </c>
      <c r="F42" s="88">
        <v>211</v>
      </c>
      <c r="G42" s="88"/>
      <c r="H42" s="8">
        <f t="shared" si="0"/>
        <v>-9863491956</v>
      </c>
    </row>
    <row r="43" spans="1:8" s="22" customFormat="1" ht="19.5" customHeight="1">
      <c r="A43" s="16" t="s">
        <v>345</v>
      </c>
      <c r="B43" s="83">
        <v>223</v>
      </c>
      <c r="C43" s="83"/>
      <c r="D43" s="138">
        <f>-'BIEU 02-Bang CDSPS '!N126</f>
        <v>-180498535923</v>
      </c>
      <c r="E43" s="133">
        <f>-'BIEU 02-Bang CDSPS '!F126</f>
        <v>-174590788544</v>
      </c>
      <c r="F43" s="88"/>
      <c r="G43" s="88">
        <v>2141</v>
      </c>
      <c r="H43" s="133">
        <f t="shared" si="0"/>
        <v>-5907747379</v>
      </c>
    </row>
    <row r="44" spans="1:8" s="22" customFormat="1" ht="19.5" customHeight="1">
      <c r="A44" s="25" t="s">
        <v>346</v>
      </c>
      <c r="B44" s="122">
        <v>224</v>
      </c>
      <c r="C44" s="122" t="s">
        <v>232</v>
      </c>
      <c r="D44" s="25"/>
      <c r="E44" s="25"/>
      <c r="F44" s="88"/>
      <c r="G44" s="88"/>
      <c r="H44" s="23">
        <f t="shared" si="0"/>
        <v>0</v>
      </c>
    </row>
    <row r="45" spans="1:8" s="22" customFormat="1" ht="19.5" customHeight="1">
      <c r="A45" s="15" t="s">
        <v>344</v>
      </c>
      <c r="B45" s="26">
        <v>225</v>
      </c>
      <c r="C45" s="26"/>
      <c r="D45" s="8">
        <f>'BIEU 02-Bang CDSPS '!L122</f>
        <v>0</v>
      </c>
      <c r="E45" s="8">
        <f>'BIEU 02-Bang CDSPS '!D122</f>
        <v>0</v>
      </c>
      <c r="F45" s="88">
        <v>212</v>
      </c>
      <c r="G45" s="88"/>
      <c r="H45" s="8">
        <f t="shared" si="0"/>
        <v>0</v>
      </c>
    </row>
    <row r="46" spans="1:8" s="22" customFormat="1" ht="19.5" customHeight="1">
      <c r="A46" s="15" t="s">
        <v>345</v>
      </c>
      <c r="B46" s="26">
        <v>226</v>
      </c>
      <c r="C46" s="26"/>
      <c r="D46" s="15"/>
      <c r="E46" s="15"/>
      <c r="F46" s="88"/>
      <c r="G46" s="88">
        <v>2142</v>
      </c>
      <c r="H46" s="8">
        <f t="shared" si="0"/>
        <v>0</v>
      </c>
    </row>
    <row r="47" spans="1:8" s="22" customFormat="1" ht="19.5" customHeight="1">
      <c r="A47" s="15" t="s">
        <v>347</v>
      </c>
      <c r="B47" s="26">
        <v>227</v>
      </c>
      <c r="C47" s="26" t="s">
        <v>233</v>
      </c>
      <c r="D47" s="8">
        <f>SUM(D48:D49)</f>
        <v>0</v>
      </c>
      <c r="E47" s="8">
        <f>SUM(E48:E49)</f>
        <v>0</v>
      </c>
      <c r="F47" s="88"/>
      <c r="G47" s="88"/>
      <c r="H47" s="8">
        <f t="shared" si="0"/>
        <v>0</v>
      </c>
    </row>
    <row r="48" spans="1:8" s="22" customFormat="1" ht="19.5" customHeight="1">
      <c r="A48" s="15" t="s">
        <v>344</v>
      </c>
      <c r="B48" s="26">
        <v>228</v>
      </c>
      <c r="C48" s="26"/>
      <c r="D48" s="69">
        <f>'BIEU 02-Bang CDSPS '!L124</f>
        <v>0</v>
      </c>
      <c r="E48" s="8">
        <v>0</v>
      </c>
      <c r="F48" s="88">
        <v>213</v>
      </c>
      <c r="G48" s="88"/>
      <c r="H48" s="8">
        <f t="shared" si="0"/>
        <v>0</v>
      </c>
    </row>
    <row r="49" spans="1:8" s="22" customFormat="1" ht="19.5" customHeight="1">
      <c r="A49" s="15" t="s">
        <v>345</v>
      </c>
      <c r="B49" s="26">
        <v>229</v>
      </c>
      <c r="C49" s="26"/>
      <c r="D49" s="15"/>
      <c r="E49" s="15"/>
      <c r="F49" s="88"/>
      <c r="G49" s="88">
        <v>2143</v>
      </c>
      <c r="H49" s="8">
        <f t="shared" si="0"/>
        <v>0</v>
      </c>
    </row>
    <row r="50" spans="1:8" s="22" customFormat="1" ht="19.5" customHeight="1">
      <c r="A50" s="15" t="s">
        <v>607</v>
      </c>
      <c r="B50" s="26">
        <v>230</v>
      </c>
      <c r="C50" s="26" t="s">
        <v>234</v>
      </c>
      <c r="D50" s="69">
        <f>'BIEU 02-Bang CDSPS '!L143</f>
        <v>72821904411</v>
      </c>
      <c r="E50" s="8">
        <f>'BIEU 02-Bang CDSPS '!D143</f>
        <v>63785942542</v>
      </c>
      <c r="F50" s="88">
        <v>241</v>
      </c>
      <c r="G50" s="88"/>
      <c r="H50" s="8">
        <f t="shared" si="0"/>
        <v>9035961869</v>
      </c>
    </row>
    <row r="51" spans="1:8" s="45" customFormat="1" ht="19.5" customHeight="1">
      <c r="A51" s="2" t="s">
        <v>609</v>
      </c>
      <c r="B51" s="14">
        <v>240</v>
      </c>
      <c r="C51" s="26" t="s">
        <v>235</v>
      </c>
      <c r="D51" s="5">
        <f>SUM(D52:D53)</f>
        <v>0</v>
      </c>
      <c r="E51" s="5">
        <f>SUM(E52:E53)</f>
        <v>0</v>
      </c>
      <c r="F51" s="49"/>
      <c r="G51" s="49"/>
      <c r="H51" s="5">
        <f>SUM(H52:H53)</f>
        <v>0</v>
      </c>
    </row>
    <row r="52" spans="1:8" s="22" customFormat="1" ht="19.5" customHeight="1">
      <c r="A52" s="15" t="s">
        <v>344</v>
      </c>
      <c r="B52" s="26">
        <v>241</v>
      </c>
      <c r="C52" s="26"/>
      <c r="D52" s="15"/>
      <c r="E52" s="15"/>
      <c r="F52" s="88">
        <v>217</v>
      </c>
      <c r="G52" s="88"/>
      <c r="H52" s="8">
        <f t="shared" si="0"/>
        <v>0</v>
      </c>
    </row>
    <row r="53" spans="1:8" s="22" customFormat="1" ht="19.5" customHeight="1">
      <c r="A53" s="15" t="s">
        <v>345</v>
      </c>
      <c r="B53" s="26">
        <v>242</v>
      </c>
      <c r="C53" s="26"/>
      <c r="D53" s="15"/>
      <c r="E53" s="15"/>
      <c r="F53" s="88"/>
      <c r="G53" s="88">
        <v>2147</v>
      </c>
      <c r="H53" s="8">
        <f t="shared" si="0"/>
        <v>0</v>
      </c>
    </row>
    <row r="54" spans="1:8" s="22" customFormat="1" ht="19.5" customHeight="1">
      <c r="A54" s="2" t="s">
        <v>608</v>
      </c>
      <c r="B54" s="14">
        <v>250</v>
      </c>
      <c r="C54" s="14"/>
      <c r="D54" s="5">
        <f>SUM(D55:D58)</f>
        <v>135695849179</v>
      </c>
      <c r="E54" s="5">
        <f>SUM(E55:E58)</f>
        <v>129410249179</v>
      </c>
      <c r="F54" s="88"/>
      <c r="G54" s="88"/>
      <c r="H54" s="5">
        <f>SUM(H55:H58)</f>
        <v>6285600000</v>
      </c>
    </row>
    <row r="55" spans="1:8" s="22" customFormat="1" ht="19.5" customHeight="1">
      <c r="A55" s="15" t="s">
        <v>610</v>
      </c>
      <c r="B55" s="26">
        <v>251</v>
      </c>
      <c r="C55" s="26"/>
      <c r="D55" s="8"/>
      <c r="E55" s="8"/>
      <c r="F55" s="88">
        <v>221</v>
      </c>
      <c r="G55" s="88"/>
      <c r="H55" s="8">
        <f t="shared" si="0"/>
        <v>0</v>
      </c>
    </row>
    <row r="56" spans="1:8" s="22" customFormat="1" ht="19.5" customHeight="1">
      <c r="A56" s="15" t="s">
        <v>620</v>
      </c>
      <c r="B56" s="26">
        <v>252</v>
      </c>
      <c r="C56" s="26"/>
      <c r="D56" s="8">
        <f>'BIEU 02-Bang CDSPS '!L134</f>
        <v>10500000000</v>
      </c>
      <c r="E56" s="8">
        <f>'BIEU 02-Bang CDSPS '!D134</f>
        <v>10500000000</v>
      </c>
      <c r="F56" s="88" t="s">
        <v>883</v>
      </c>
      <c r="G56" s="88"/>
      <c r="H56" s="8">
        <f t="shared" si="0"/>
        <v>0</v>
      </c>
    </row>
    <row r="57" spans="1:8" s="22" customFormat="1" ht="19.5" customHeight="1">
      <c r="A57" s="15" t="s">
        <v>348</v>
      </c>
      <c r="B57" s="26">
        <v>258</v>
      </c>
      <c r="C57" s="26" t="s">
        <v>236</v>
      </c>
      <c r="D57" s="69">
        <f>'BIEU 02-Bang CDSPS '!L136</f>
        <v>125754553550</v>
      </c>
      <c r="E57" s="8">
        <f>'BIEU 02-Bang CDSPS '!D136</f>
        <v>119468953550</v>
      </c>
      <c r="F57" s="88">
        <v>228</v>
      </c>
      <c r="G57" s="88"/>
      <c r="H57" s="8">
        <f t="shared" si="0"/>
        <v>6285600000</v>
      </c>
    </row>
    <row r="58" spans="1:8" s="22" customFormat="1" ht="19.5" customHeight="1">
      <c r="A58" s="15" t="s">
        <v>621</v>
      </c>
      <c r="B58" s="26">
        <v>259</v>
      </c>
      <c r="C58" s="26"/>
      <c r="D58" s="86">
        <f>-'BIEU 02-Bang CDSPS '!N141</f>
        <v>-558704371</v>
      </c>
      <c r="E58" s="86">
        <f>-'BIEU 02-Bang CDSPS '!F141</f>
        <v>-558704371</v>
      </c>
      <c r="F58" s="88"/>
      <c r="G58" s="88"/>
      <c r="H58" s="8">
        <f t="shared" si="0"/>
        <v>0</v>
      </c>
    </row>
    <row r="59" spans="1:8" s="45" customFormat="1" ht="19.5" customHeight="1">
      <c r="A59" s="2" t="s">
        <v>622</v>
      </c>
      <c r="B59" s="14">
        <v>260</v>
      </c>
      <c r="C59" s="14"/>
      <c r="D59" s="5">
        <f>SUM(D60:D63)</f>
        <v>20938137892</v>
      </c>
      <c r="E59" s="5">
        <f>SUM(E60:E63)</f>
        <v>32987267759</v>
      </c>
      <c r="F59" s="49"/>
      <c r="G59" s="49"/>
      <c r="H59" s="139">
        <f>SUM(H60:H63)</f>
        <v>-12049129867</v>
      </c>
    </row>
    <row r="60" spans="1:8" s="22" customFormat="1" ht="19.5" customHeight="1">
      <c r="A60" s="15" t="s">
        <v>623</v>
      </c>
      <c r="B60" s="26">
        <v>261</v>
      </c>
      <c r="C60" s="26" t="s">
        <v>237</v>
      </c>
      <c r="D60" s="69">
        <f>'BIEU 02-Bang CDSPS '!L145</f>
        <v>20917437892</v>
      </c>
      <c r="E60" s="8">
        <f>'BIEU 02-Bang CDSPS '!D145</f>
        <v>32987267759</v>
      </c>
      <c r="F60" s="88">
        <v>242</v>
      </c>
      <c r="G60" s="88"/>
      <c r="H60" s="86">
        <f t="shared" si="0"/>
        <v>-12069829867</v>
      </c>
    </row>
    <row r="61" spans="1:8" s="22" customFormat="1" ht="19.5" customHeight="1" hidden="1">
      <c r="A61" s="15" t="s">
        <v>624</v>
      </c>
      <c r="B61" s="26">
        <v>262</v>
      </c>
      <c r="C61" s="26" t="s">
        <v>238</v>
      </c>
      <c r="D61" s="15"/>
      <c r="E61" s="15"/>
      <c r="F61" s="88">
        <v>243</v>
      </c>
      <c r="G61" s="88"/>
      <c r="H61" s="8">
        <f t="shared" si="0"/>
        <v>0</v>
      </c>
    </row>
    <row r="62" spans="1:8" s="22" customFormat="1" ht="19.5" customHeight="1">
      <c r="A62" s="15" t="s">
        <v>625</v>
      </c>
      <c r="B62" s="26">
        <v>268</v>
      </c>
      <c r="C62" s="26"/>
      <c r="D62" s="8">
        <f>'BIEU 02-Bang CDSPS '!L149</f>
        <v>20700000</v>
      </c>
      <c r="E62" s="8">
        <f>'BIEU 02-Bang CDSPS '!D149</f>
        <v>0</v>
      </c>
      <c r="F62" s="88">
        <v>244</v>
      </c>
      <c r="G62" s="88"/>
      <c r="H62" s="8">
        <f t="shared" si="0"/>
        <v>20700000</v>
      </c>
    </row>
    <row r="63" spans="1:8" s="22" customFormat="1" ht="19.5" customHeight="1">
      <c r="A63" s="15"/>
      <c r="B63" s="26"/>
      <c r="C63" s="26"/>
      <c r="D63" s="15"/>
      <c r="E63" s="15"/>
      <c r="F63" s="88"/>
      <c r="G63" s="88"/>
      <c r="H63" s="8">
        <f t="shared" si="0"/>
        <v>0</v>
      </c>
    </row>
    <row r="64" spans="1:12" s="82" customFormat="1" ht="19.5" customHeight="1">
      <c r="A64" s="81" t="s">
        <v>626</v>
      </c>
      <c r="B64" s="81">
        <v>270</v>
      </c>
      <c r="C64" s="81"/>
      <c r="D64" s="10">
        <f>D9+D32</f>
        <v>875454445798</v>
      </c>
      <c r="E64" s="10">
        <f>E9+E32</f>
        <v>790847631529</v>
      </c>
      <c r="F64" s="91"/>
      <c r="G64" s="91"/>
      <c r="H64" s="219">
        <f>H9+H32</f>
        <v>84606814269</v>
      </c>
      <c r="K64" s="289">
        <f>'BIEU 02-Bang CDSPS '!L288-'BIEU 02-Bang CDSPS '!L51+'BIEU 02-Bang CDSPS '!L52-'BIEU 02-Bang CDSPS '!N126-'BIEU 02-Bang CDSPS '!N141-'BIEU 02-Bang CDSPS '!L157+'BIEU 02-Bang CDSPS '!L158+'BIEU 02-Bang CDSPS '!L187+'BIEU 02-Bang CDSPS '!L192-'BIEU 02-Bang CDSPS '!N115-'BIEU 02-Bang CDSPS '!L231</f>
        <v>875454445798</v>
      </c>
      <c r="L64" s="306" t="s">
        <v>553</v>
      </c>
    </row>
    <row r="65" spans="1:12" s="22" customFormat="1" ht="19.5" customHeight="1">
      <c r="A65" s="48"/>
      <c r="B65" s="58"/>
      <c r="C65" s="58"/>
      <c r="D65" s="59"/>
      <c r="E65" s="59"/>
      <c r="F65" s="88"/>
      <c r="G65" s="88"/>
      <c r="H65" s="17">
        <f t="shared" si="0"/>
        <v>0</v>
      </c>
      <c r="K65" s="289">
        <f>'BIEU 02-Bang CDSPS '!D288+'BIEU 02-Bang CDSPS '!D52-'BIEU 02-Bang CDSPS '!F126-'BIEU 02-Bang CDSPS '!F141-'BIEU 02-Bang CDSPS '!D157+'BIEU 02-Bang CDSPS '!D158+'BIEU 02-Bang CDSPS '!D186+'BIEU 02-Bang CDSPS '!D190-'BIEU 02-Bang CDSPS '!F115</f>
        <v>790847631529</v>
      </c>
      <c r="L65" s="306" t="s">
        <v>552</v>
      </c>
    </row>
    <row r="66" spans="1:11" s="22" customFormat="1" ht="19.5" customHeight="1">
      <c r="A66" s="213"/>
      <c r="B66" s="214"/>
      <c r="C66" s="214"/>
      <c r="D66" s="215"/>
      <c r="E66" s="215"/>
      <c r="F66" s="88"/>
      <c r="G66" s="88"/>
      <c r="H66" s="24"/>
      <c r="K66" s="24">
        <f>K64-D64</f>
        <v>0</v>
      </c>
    </row>
    <row r="67" spans="1:8" s="52" customFormat="1" ht="19.5" customHeight="1">
      <c r="A67" s="53" t="s">
        <v>349</v>
      </c>
      <c r="B67" s="53" t="s">
        <v>340</v>
      </c>
      <c r="C67" s="53" t="s">
        <v>627</v>
      </c>
      <c r="D67" s="55" t="s">
        <v>989</v>
      </c>
      <c r="E67" s="55" t="s">
        <v>341</v>
      </c>
      <c r="F67" s="85"/>
      <c r="G67" s="85"/>
      <c r="H67" s="55" t="s">
        <v>924</v>
      </c>
    </row>
    <row r="68" spans="1:8" s="22" customFormat="1" ht="19.5" customHeight="1">
      <c r="A68" s="1" t="s">
        <v>641</v>
      </c>
      <c r="B68" s="1">
        <v>1</v>
      </c>
      <c r="C68" s="1">
        <v>2</v>
      </c>
      <c r="D68" s="56">
        <v>3</v>
      </c>
      <c r="E68" s="56">
        <v>4</v>
      </c>
      <c r="F68" s="88"/>
      <c r="G68" s="88"/>
      <c r="H68" s="56" t="s">
        <v>925</v>
      </c>
    </row>
    <row r="69" spans="1:8" s="22" customFormat="1" ht="19.5" customHeight="1">
      <c r="A69" s="3" t="s">
        <v>350</v>
      </c>
      <c r="B69" s="13">
        <v>300</v>
      </c>
      <c r="C69" s="13"/>
      <c r="D69" s="4">
        <f>D71+D83</f>
        <v>200237431316</v>
      </c>
      <c r="E69" s="4">
        <f>E71+E83</f>
        <v>184549970207</v>
      </c>
      <c r="F69" s="88"/>
      <c r="G69" s="88"/>
      <c r="H69" s="218">
        <f>H71+H83</f>
        <v>34495904994</v>
      </c>
    </row>
    <row r="70" spans="1:8" s="22" customFormat="1" ht="19.5" customHeight="1">
      <c r="A70" s="2" t="s">
        <v>108</v>
      </c>
      <c r="B70" s="26"/>
      <c r="C70" s="26"/>
      <c r="D70" s="15"/>
      <c r="E70" s="15"/>
      <c r="F70" s="88"/>
      <c r="G70" s="88"/>
      <c r="H70" s="8">
        <f t="shared" si="0"/>
        <v>0</v>
      </c>
    </row>
    <row r="71" spans="1:8" s="22" customFormat="1" ht="19.5" customHeight="1">
      <c r="A71" s="2" t="s">
        <v>848</v>
      </c>
      <c r="B71" s="14">
        <v>310</v>
      </c>
      <c r="C71" s="14"/>
      <c r="D71" s="5">
        <f>SUM(D72:D82)</f>
        <v>161526786721</v>
      </c>
      <c r="E71" s="5">
        <f>SUM(E72:E82)</f>
        <v>142547323470</v>
      </c>
      <c r="F71" s="88"/>
      <c r="G71" s="88"/>
      <c r="H71" s="139">
        <f>SUM(H72:H81)</f>
        <v>37787907136</v>
      </c>
    </row>
    <row r="72" spans="1:8" s="22" customFormat="1" ht="19.5" customHeight="1">
      <c r="A72" s="15" t="s">
        <v>628</v>
      </c>
      <c r="B72" s="26">
        <v>311</v>
      </c>
      <c r="C72" s="26" t="s">
        <v>239</v>
      </c>
      <c r="D72" s="69">
        <f>'BIEU 02-Bang CDSPS '!N153+'BIEU 02-Bang CDSPS '!N155</f>
        <v>6829346712</v>
      </c>
      <c r="E72" s="8">
        <f>'BIEU 02-Bang CDSPS '!F153+'BIEU 02-Bang CDSPS '!F155</f>
        <v>11593732398</v>
      </c>
      <c r="F72" s="88"/>
      <c r="G72" s="88">
        <v>315</v>
      </c>
      <c r="H72" s="86">
        <f t="shared" si="0"/>
        <v>-4764385686</v>
      </c>
    </row>
    <row r="73" spans="1:8" s="22" customFormat="1" ht="19.5" customHeight="1">
      <c r="A73" s="15" t="s">
        <v>629</v>
      </c>
      <c r="B73" s="26">
        <v>312</v>
      </c>
      <c r="C73" s="26"/>
      <c r="D73" s="69">
        <f>'BIEU 02-Bang CDSPS '!N159</f>
        <v>1139997386</v>
      </c>
      <c r="E73" s="8">
        <f>'BIEU 02-Bang CDSPS '!F159</f>
        <v>1769653251</v>
      </c>
      <c r="F73" s="88"/>
      <c r="G73" s="88">
        <v>331</v>
      </c>
      <c r="H73" s="86">
        <f t="shared" si="0"/>
        <v>-629655865</v>
      </c>
    </row>
    <row r="74" spans="1:8" s="22" customFormat="1" ht="19.5" customHeight="1">
      <c r="A74" s="15" t="s">
        <v>843</v>
      </c>
      <c r="B74" s="26">
        <v>313</v>
      </c>
      <c r="C74" s="26"/>
      <c r="D74" s="69">
        <f>'BIEU 02-Bang CDSPS '!N53</f>
        <v>17167851243</v>
      </c>
      <c r="E74" s="8">
        <f>'BIEU 02-Bang CDSPS '!F53</f>
        <v>16336858912</v>
      </c>
      <c r="F74" s="88"/>
      <c r="G74" s="88">
        <v>131</v>
      </c>
      <c r="H74" s="86">
        <f t="shared" si="0"/>
        <v>830992331</v>
      </c>
    </row>
    <row r="75" spans="1:8" s="22" customFormat="1" ht="19.5" customHeight="1">
      <c r="A75" s="15" t="s">
        <v>844</v>
      </c>
      <c r="B75" s="26">
        <v>314</v>
      </c>
      <c r="C75" s="26" t="s">
        <v>240</v>
      </c>
      <c r="D75" s="69">
        <f>'BIEU 02-Bang CDSPS '!N162+'BIEU 02-Bang CDSPS '!N163+'BIEU 02-Bang CDSPS '!N164+'BIEU 02-Bang CDSPS '!N165+'BIEU 02-Bang CDSPS '!N166+'BIEU 02-Bang CDSPS '!N167+'BIEU 02-Bang CDSPS '!N168</f>
        <v>31218701925</v>
      </c>
      <c r="E75" s="8">
        <f>'BIEU 02-Bang CDSPS '!F162+'BIEU 02-Bang CDSPS '!F163+'BIEU 02-Bang CDSPS '!F164+'BIEU 02-Bang CDSPS '!F165+'BIEU 02-Bang CDSPS '!F166+'BIEU 02-Bang CDSPS '!F167+'BIEU 02-Bang CDSPS '!F168</f>
        <v>21009073139</v>
      </c>
      <c r="F75" s="88"/>
      <c r="G75" s="88">
        <v>333</v>
      </c>
      <c r="H75" s="86">
        <f t="shared" si="0"/>
        <v>10209628786</v>
      </c>
    </row>
    <row r="76" spans="1:8" s="22" customFormat="1" ht="19.5" customHeight="1">
      <c r="A76" s="15" t="s">
        <v>109</v>
      </c>
      <c r="B76" s="26">
        <v>315</v>
      </c>
      <c r="C76" s="26"/>
      <c r="D76" s="69">
        <f>'BIEU 02-Bang CDSPS '!N170</f>
        <v>98280510928</v>
      </c>
      <c r="E76" s="8">
        <f>'BIEU 02-Bang CDSPS '!F170</f>
        <v>64765530417</v>
      </c>
      <c r="F76" s="88"/>
      <c r="G76" s="92">
        <v>334</v>
      </c>
      <c r="H76" s="8">
        <f t="shared" si="0"/>
        <v>33514980511</v>
      </c>
    </row>
    <row r="77" spans="1:8" s="22" customFormat="1" ht="19.5" customHeight="1">
      <c r="A77" s="15" t="s">
        <v>845</v>
      </c>
      <c r="B77" s="26">
        <v>316</v>
      </c>
      <c r="C77" s="26" t="s">
        <v>241</v>
      </c>
      <c r="D77" s="69">
        <f>'BIEU 02-Bang CDSPS '!N177</f>
        <v>148961166</v>
      </c>
      <c r="E77" s="8">
        <f>'BIEU 02-Bang CDSPS '!F177</f>
        <v>237662537</v>
      </c>
      <c r="F77" s="88"/>
      <c r="G77" s="92">
        <v>335</v>
      </c>
      <c r="H77" s="86">
        <f aca="true" t="shared" si="1" ref="H77:H107">D77-E77</f>
        <v>-88701371</v>
      </c>
    </row>
    <row r="78" spans="1:8" s="22" customFormat="1" ht="19.5" customHeight="1">
      <c r="A78" s="15" t="s">
        <v>846</v>
      </c>
      <c r="B78" s="26">
        <v>317</v>
      </c>
      <c r="C78" s="26"/>
      <c r="D78" s="8">
        <f>'BIEU 02-Bang CDSPS '!N179</f>
        <v>0</v>
      </c>
      <c r="E78" s="8">
        <f>'BIEU 02-Bang CDSPS '!F179</f>
        <v>0</v>
      </c>
      <c r="F78" s="88"/>
      <c r="G78" s="92">
        <v>136.336</v>
      </c>
      <c r="H78" s="86">
        <f t="shared" si="1"/>
        <v>0</v>
      </c>
    </row>
    <row r="79" spans="1:8" s="22" customFormat="1" ht="19.5" customHeight="1">
      <c r="A79" s="15" t="s">
        <v>847</v>
      </c>
      <c r="B79" s="26">
        <v>318</v>
      </c>
      <c r="C79" s="26"/>
      <c r="D79" s="8">
        <f>'BIEU 02-Bang CDSPS '!N181</f>
        <v>0</v>
      </c>
      <c r="E79" s="8">
        <f>'BIEU 02-Bang CDSPS '!F181</f>
        <v>0</v>
      </c>
      <c r="F79" s="88"/>
      <c r="G79" s="92">
        <v>337</v>
      </c>
      <c r="H79" s="8">
        <f t="shared" si="1"/>
        <v>0</v>
      </c>
    </row>
    <row r="80" spans="1:8" s="22" customFormat="1" ht="19.5" customHeight="1">
      <c r="A80" s="15" t="s">
        <v>110</v>
      </c>
      <c r="B80" s="26">
        <v>319</v>
      </c>
      <c r="C80" s="26" t="s">
        <v>242</v>
      </c>
      <c r="D80" s="69">
        <f>'BIEU 02-Bang CDSPS '!N185+'BIEU 02-Bang CDSPS '!N186+'BIEU 02-Bang CDSPS '!N187+'BIEU 02-Bang CDSPS '!N189+'BIEU 02-Bang CDSPS '!N190+'BIEU 02-Bang CDSPS '!N191-D86</f>
        <v>3638380517</v>
      </c>
      <c r="E80" s="69">
        <f>'BIEU 02-Bang CDSPS '!F185+'BIEU 02-Bang CDSPS '!F186+'BIEU 02-Bang CDSPS '!F187+'BIEU 02-Bang CDSPS '!F189+'BIEU 02-Bang CDSPS '!F190+'BIEU 02-Bang CDSPS '!F191-E86</f>
        <v>4923332087</v>
      </c>
      <c r="F80" s="88"/>
      <c r="G80" s="88">
        <v>138.338</v>
      </c>
      <c r="H80" s="8">
        <f t="shared" si="1"/>
        <v>-1284951570</v>
      </c>
    </row>
    <row r="81" spans="1:8" s="22" customFormat="1" ht="19.5" customHeight="1">
      <c r="A81" s="15" t="s">
        <v>111</v>
      </c>
      <c r="B81" s="26">
        <v>320</v>
      </c>
      <c r="C81" s="26"/>
      <c r="D81" s="8"/>
      <c r="E81" s="8"/>
      <c r="F81" s="88"/>
      <c r="G81" s="88">
        <v>352</v>
      </c>
      <c r="H81" s="8">
        <f t="shared" si="1"/>
        <v>0</v>
      </c>
    </row>
    <row r="82" spans="1:8" s="22" customFormat="1" ht="19.5" customHeight="1">
      <c r="A82" s="15" t="s">
        <v>611</v>
      </c>
      <c r="B82" s="26">
        <v>321</v>
      </c>
      <c r="C82" s="26"/>
      <c r="D82" s="8">
        <f>'BIEU 02-Bang CDSPS '!N208</f>
        <v>3103036844</v>
      </c>
      <c r="E82" s="8">
        <f>'BIEU 02-Bang CDSPS '!F208</f>
        <v>21911480729</v>
      </c>
      <c r="F82" s="88"/>
      <c r="G82" s="88"/>
      <c r="H82" s="8"/>
    </row>
    <row r="83" spans="1:8" s="22" customFormat="1" ht="19.5" customHeight="1">
      <c r="A83" s="2" t="s">
        <v>849</v>
      </c>
      <c r="B83" s="14">
        <v>330</v>
      </c>
      <c r="C83" s="14"/>
      <c r="D83" s="5">
        <f>SUM(D84:D90)</f>
        <v>38710644595</v>
      </c>
      <c r="E83" s="5">
        <f>SUM(E84:E90)</f>
        <v>42002646737</v>
      </c>
      <c r="F83" s="88"/>
      <c r="G83" s="88"/>
      <c r="H83" s="139">
        <f>SUM(H84:H90)</f>
        <v>-3292002142</v>
      </c>
    </row>
    <row r="84" spans="1:8" s="22" customFormat="1" ht="19.5" customHeight="1">
      <c r="A84" s="15" t="s">
        <v>850</v>
      </c>
      <c r="B84" s="26">
        <v>331</v>
      </c>
      <c r="C84" s="26"/>
      <c r="D84" s="8"/>
      <c r="E84" s="8"/>
      <c r="F84" s="88"/>
      <c r="G84" s="88" t="s">
        <v>595</v>
      </c>
      <c r="H84" s="8">
        <f t="shared" si="1"/>
        <v>0</v>
      </c>
    </row>
    <row r="85" spans="1:8" s="22" customFormat="1" ht="19.5" customHeight="1">
      <c r="A85" s="15" t="s">
        <v>851</v>
      </c>
      <c r="B85" s="26">
        <v>332</v>
      </c>
      <c r="C85" s="26" t="s">
        <v>243</v>
      </c>
      <c r="D85" s="8"/>
      <c r="E85" s="8"/>
      <c r="F85" s="88"/>
      <c r="G85" s="88" t="s">
        <v>596</v>
      </c>
      <c r="H85" s="8">
        <f t="shared" si="1"/>
        <v>0</v>
      </c>
    </row>
    <row r="86" spans="1:8" s="22" customFormat="1" ht="19.5" customHeight="1">
      <c r="A86" s="15" t="s">
        <v>852</v>
      </c>
      <c r="B86" s="26">
        <v>333</v>
      </c>
      <c r="C86" s="26"/>
      <c r="D86" s="8">
        <v>300000000</v>
      </c>
      <c r="E86" s="8">
        <v>3835000000</v>
      </c>
      <c r="F86" s="88"/>
      <c r="G86" s="88" t="s">
        <v>597</v>
      </c>
      <c r="H86" s="8">
        <f t="shared" si="1"/>
        <v>-3535000000</v>
      </c>
    </row>
    <row r="87" spans="1:8" s="22" customFormat="1" ht="19.5" customHeight="1">
      <c r="A87" s="16" t="s">
        <v>853</v>
      </c>
      <c r="B87" s="83">
        <v>334</v>
      </c>
      <c r="C87" s="83" t="s">
        <v>244</v>
      </c>
      <c r="D87" s="165">
        <f>'BIEU 02-Bang CDSPS '!N194</f>
        <v>34758155155</v>
      </c>
      <c r="E87" s="165">
        <f>'BIEU 02-Bang CDSPS '!F194</f>
        <v>34758155155</v>
      </c>
      <c r="F87" s="88"/>
      <c r="G87" s="88">
        <v>341</v>
      </c>
      <c r="H87" s="133">
        <f t="shared" si="1"/>
        <v>0</v>
      </c>
    </row>
    <row r="88" spans="1:8" s="22" customFormat="1" ht="19.5" customHeight="1">
      <c r="A88" s="25" t="s">
        <v>854</v>
      </c>
      <c r="B88" s="122">
        <v>335</v>
      </c>
      <c r="C88" s="122" t="s">
        <v>238</v>
      </c>
      <c r="D88" s="23"/>
      <c r="E88" s="23"/>
      <c r="F88" s="88"/>
      <c r="G88" s="88">
        <v>347</v>
      </c>
      <c r="H88" s="23">
        <f t="shared" si="1"/>
        <v>0</v>
      </c>
    </row>
    <row r="89" spans="1:8" s="22" customFormat="1" ht="19.5" customHeight="1">
      <c r="A89" s="15" t="s">
        <v>944</v>
      </c>
      <c r="B89" s="26">
        <v>336</v>
      </c>
      <c r="C89" s="26"/>
      <c r="D89" s="69">
        <f>'BIEU 02-Bang CDSPS '!N204</f>
        <v>3652489440</v>
      </c>
      <c r="E89" s="8">
        <f>'BIEU 02-Bang CDSPS '!F204</f>
        <v>3409491582</v>
      </c>
      <c r="F89" s="88"/>
      <c r="G89" s="88">
        <v>351</v>
      </c>
      <c r="H89" s="8">
        <f t="shared" si="1"/>
        <v>242997858</v>
      </c>
    </row>
    <row r="90" spans="1:8" s="22" customFormat="1" ht="19.5" customHeight="1">
      <c r="A90" s="15" t="s">
        <v>945</v>
      </c>
      <c r="B90" s="26">
        <v>337</v>
      </c>
      <c r="C90" s="26"/>
      <c r="D90" s="15"/>
      <c r="E90" s="15"/>
      <c r="F90" s="88"/>
      <c r="G90" s="88" t="s">
        <v>599</v>
      </c>
      <c r="H90" s="8">
        <f t="shared" si="1"/>
        <v>0</v>
      </c>
    </row>
    <row r="91" spans="1:8" s="22" customFormat="1" ht="19.5" customHeight="1">
      <c r="A91" s="2" t="s">
        <v>855</v>
      </c>
      <c r="B91" s="14">
        <v>400</v>
      </c>
      <c r="C91" s="14"/>
      <c r="D91" s="5">
        <f>D93+D105</f>
        <v>675217014482</v>
      </c>
      <c r="E91" s="5">
        <f>E93+E105</f>
        <v>606297661322</v>
      </c>
      <c r="F91" s="88"/>
      <c r="G91" s="88"/>
      <c r="H91" s="5" t="e">
        <f>H93+H105</f>
        <v>#REF!</v>
      </c>
    </row>
    <row r="92" spans="1:8" s="22" customFormat="1" ht="19.5" customHeight="1">
      <c r="A92" s="2" t="s">
        <v>946</v>
      </c>
      <c r="B92" s="15"/>
      <c r="C92" s="15"/>
      <c r="D92" s="15"/>
      <c r="E92" s="15"/>
      <c r="F92" s="88"/>
      <c r="G92" s="88"/>
      <c r="H92" s="8">
        <f t="shared" si="1"/>
        <v>0</v>
      </c>
    </row>
    <row r="93" spans="1:8" s="22" customFormat="1" ht="19.5" customHeight="1">
      <c r="A93" s="2" t="s">
        <v>856</v>
      </c>
      <c r="B93" s="14">
        <v>410</v>
      </c>
      <c r="C93" s="26" t="s">
        <v>245</v>
      </c>
      <c r="D93" s="5">
        <f>SUM(D94:D104)</f>
        <v>675217014482</v>
      </c>
      <c r="E93" s="5">
        <f>SUM(E94:E104)</f>
        <v>606297661322</v>
      </c>
      <c r="F93" s="88"/>
      <c r="G93" s="88"/>
      <c r="H93" s="5">
        <f>SUM(H94:H104)</f>
        <v>68919353160</v>
      </c>
    </row>
    <row r="94" spans="1:8" s="22" customFormat="1" ht="19.5" customHeight="1">
      <c r="A94" s="15" t="s">
        <v>857</v>
      </c>
      <c r="B94" s="26">
        <v>411</v>
      </c>
      <c r="C94" s="26"/>
      <c r="D94" s="69">
        <f>'BIEU 02-Bang CDSPS '!N215</f>
        <v>300000000000</v>
      </c>
      <c r="E94" s="69">
        <f>'BIEU 02-Bang CDSPS '!F215</f>
        <v>300000000000</v>
      </c>
      <c r="F94" s="88"/>
      <c r="G94" s="88" t="s">
        <v>223</v>
      </c>
      <c r="H94" s="8">
        <f t="shared" si="1"/>
        <v>0</v>
      </c>
    </row>
    <row r="95" spans="1:8" s="22" customFormat="1" ht="19.5" customHeight="1">
      <c r="A95" s="15" t="s">
        <v>858</v>
      </c>
      <c r="B95" s="26">
        <v>412</v>
      </c>
      <c r="C95" s="26"/>
      <c r="D95" s="69">
        <f>'BIEU 02-Bang CDSPS '!N218</f>
        <v>0</v>
      </c>
      <c r="E95" s="15"/>
      <c r="F95" s="88"/>
      <c r="G95" s="88">
        <v>4112</v>
      </c>
      <c r="H95" s="8">
        <f t="shared" si="1"/>
        <v>0</v>
      </c>
    </row>
    <row r="96" spans="1:8" s="22" customFormat="1" ht="19.5" customHeight="1">
      <c r="A96" s="15" t="s">
        <v>214</v>
      </c>
      <c r="B96" s="26">
        <v>413</v>
      </c>
      <c r="C96" s="26"/>
      <c r="D96" s="69">
        <f>'BIEU 02-Bang CDSPS '!N219</f>
        <v>0</v>
      </c>
      <c r="E96" s="15"/>
      <c r="F96" s="88"/>
      <c r="G96" s="88">
        <v>4118</v>
      </c>
      <c r="H96" s="8">
        <f t="shared" si="1"/>
        <v>0</v>
      </c>
    </row>
    <row r="97" spans="1:8" s="22" customFormat="1" ht="19.5" customHeight="1">
      <c r="A97" s="15" t="s">
        <v>215</v>
      </c>
      <c r="B97" s="26">
        <v>414</v>
      </c>
      <c r="C97" s="26"/>
      <c r="D97" s="372">
        <f>-'BIEU 02-Bang CDSPS '!L231</f>
        <v>-14827464762</v>
      </c>
      <c r="E97" s="295">
        <f>-'BIEU 02-Bang CDSPS '!D231</f>
        <v>0</v>
      </c>
      <c r="F97" s="88"/>
      <c r="G97" s="88">
        <v>419</v>
      </c>
      <c r="H97" s="8">
        <f t="shared" si="1"/>
        <v>-14827464762</v>
      </c>
    </row>
    <row r="98" spans="1:8" s="22" customFormat="1" ht="19.5" customHeight="1">
      <c r="A98" s="15" t="s">
        <v>216</v>
      </c>
      <c r="B98" s="26">
        <v>415</v>
      </c>
      <c r="C98" s="26"/>
      <c r="D98" s="8"/>
      <c r="E98" s="8"/>
      <c r="F98" s="88"/>
      <c r="G98" s="88">
        <v>412</v>
      </c>
      <c r="H98" s="8">
        <f t="shared" si="1"/>
        <v>0</v>
      </c>
    </row>
    <row r="99" spans="1:8" s="22" customFormat="1" ht="19.5" customHeight="1">
      <c r="A99" s="15" t="s">
        <v>217</v>
      </c>
      <c r="B99" s="26">
        <v>416</v>
      </c>
      <c r="C99" s="26"/>
      <c r="D99" s="8">
        <f>'BIEU 02-Bang CDSPS '!N223</f>
        <v>0</v>
      </c>
      <c r="E99" s="8">
        <f>'BIEU 02-Bang CDSPS '!F223</f>
        <v>2745801098</v>
      </c>
      <c r="F99" s="88"/>
      <c r="G99" s="88">
        <v>413</v>
      </c>
      <c r="H99" s="8">
        <f t="shared" si="1"/>
        <v>-2745801098</v>
      </c>
    </row>
    <row r="100" spans="1:8" s="22" customFormat="1" ht="19.5" customHeight="1">
      <c r="A100" s="15" t="s">
        <v>218</v>
      </c>
      <c r="B100" s="26">
        <v>417</v>
      </c>
      <c r="C100" s="26"/>
      <c r="D100" s="69">
        <f>'BIEU 02-Bang CDSPS '!N225</f>
        <v>220850332744</v>
      </c>
      <c r="E100" s="8">
        <f>'BIEU 02-Bang CDSPS '!F225</f>
        <v>165426726565</v>
      </c>
      <c r="F100" s="88"/>
      <c r="G100" s="88">
        <v>414</v>
      </c>
      <c r="H100" s="8">
        <f t="shared" si="1"/>
        <v>55423606179</v>
      </c>
    </row>
    <row r="101" spans="1:8" s="22" customFormat="1" ht="19.5" customHeight="1">
      <c r="A101" s="15" t="s">
        <v>219</v>
      </c>
      <c r="B101" s="26">
        <v>418</v>
      </c>
      <c r="C101" s="26"/>
      <c r="D101" s="69">
        <f>'BIEU 02-Bang CDSPS '!N227</f>
        <v>22701527480</v>
      </c>
      <c r="E101" s="8">
        <f>'BIEU 02-Bang CDSPS '!F227</f>
        <v>22701527480</v>
      </c>
      <c r="F101" s="88"/>
      <c r="G101" s="88">
        <v>415</v>
      </c>
      <c r="H101" s="8">
        <f t="shared" si="1"/>
        <v>0</v>
      </c>
    </row>
    <row r="102" spans="1:8" s="22" customFormat="1" ht="19.5" customHeight="1">
      <c r="A102" s="15" t="s">
        <v>220</v>
      </c>
      <c r="B102" s="26">
        <v>419</v>
      </c>
      <c r="C102" s="26"/>
      <c r="D102" s="8">
        <f>'BIEU 02-Bang CDSPS '!N229</f>
        <v>0</v>
      </c>
      <c r="E102" s="8">
        <f>'BIEU 02-Bang CDSPS '!F229</f>
        <v>0</v>
      </c>
      <c r="F102" s="88"/>
      <c r="G102" s="88">
        <v>418</v>
      </c>
      <c r="H102" s="86">
        <f t="shared" si="1"/>
        <v>0</v>
      </c>
    </row>
    <row r="103" spans="1:8" s="22" customFormat="1" ht="19.5" customHeight="1">
      <c r="A103" s="15" t="s">
        <v>221</v>
      </c>
      <c r="B103" s="26">
        <v>420</v>
      </c>
      <c r="C103" s="26"/>
      <c r="D103" s="69">
        <f>'BIEU 02-Bang CDSPS '!N233</f>
        <v>146492619020</v>
      </c>
      <c r="E103" s="8">
        <f>'BIEU 02-Bang CDSPS '!F233</f>
        <v>115423606179</v>
      </c>
      <c r="F103" s="88"/>
      <c r="G103" s="88">
        <v>421</v>
      </c>
      <c r="H103" s="8">
        <f t="shared" si="1"/>
        <v>31069012841</v>
      </c>
    </row>
    <row r="104" spans="1:8" s="22" customFormat="1" ht="19.5" customHeight="1">
      <c r="A104" s="15" t="s">
        <v>222</v>
      </c>
      <c r="B104" s="26">
        <v>421</v>
      </c>
      <c r="C104" s="26"/>
      <c r="D104" s="69">
        <f>'BIEU 02-Bang CDSPS '!N235</f>
        <v>0</v>
      </c>
      <c r="E104" s="8">
        <f>'BIEU 02-Bang CDSPS '!F235</f>
        <v>0</v>
      </c>
      <c r="F104" s="88"/>
      <c r="G104" s="88">
        <v>441</v>
      </c>
      <c r="H104" s="8">
        <f t="shared" si="1"/>
        <v>0</v>
      </c>
    </row>
    <row r="105" spans="1:8" s="22" customFormat="1" ht="19.5" customHeight="1">
      <c r="A105" s="2" t="s">
        <v>859</v>
      </c>
      <c r="B105" s="14">
        <v>430</v>
      </c>
      <c r="C105" s="14"/>
      <c r="D105" s="139">
        <f>D106+D107</f>
        <v>0</v>
      </c>
      <c r="E105" s="139">
        <f>E106+E107</f>
        <v>0</v>
      </c>
      <c r="F105" s="88"/>
      <c r="G105" s="88"/>
      <c r="H105" s="139" t="e">
        <f>#REF!+H106+H107</f>
        <v>#REF!</v>
      </c>
    </row>
    <row r="106" spans="1:8" s="22" customFormat="1" ht="19.5" customHeight="1">
      <c r="A106" s="15" t="s">
        <v>612</v>
      </c>
      <c r="B106" s="26">
        <v>432</v>
      </c>
      <c r="C106" s="26" t="s">
        <v>246</v>
      </c>
      <c r="D106" s="8">
        <v>0</v>
      </c>
      <c r="E106" s="8">
        <v>0</v>
      </c>
      <c r="F106" s="88"/>
      <c r="G106" s="88"/>
      <c r="H106" s="8" t="e">
        <f>SUM(#REF!)</f>
        <v>#REF!</v>
      </c>
    </row>
    <row r="107" spans="1:8" s="22" customFormat="1" ht="19.5" customHeight="1">
      <c r="A107" s="15" t="s">
        <v>613</v>
      </c>
      <c r="B107" s="26">
        <v>433</v>
      </c>
      <c r="C107" s="26"/>
      <c r="D107" s="69">
        <f>'BIEU 02-Bang CDSPS '!N241</f>
        <v>0</v>
      </c>
      <c r="E107" s="69">
        <f>'BIEU 02-Bang CDSPS '!F241</f>
        <v>0</v>
      </c>
      <c r="F107" s="88"/>
      <c r="G107" s="88">
        <v>466</v>
      </c>
      <c r="H107" s="86">
        <f t="shared" si="1"/>
        <v>0</v>
      </c>
    </row>
    <row r="108" spans="1:8" s="22" customFormat="1" ht="19.5" customHeight="1">
      <c r="A108" s="15"/>
      <c r="B108" s="26"/>
      <c r="C108" s="26"/>
      <c r="D108" s="8"/>
      <c r="E108" s="8"/>
      <c r="F108" s="88"/>
      <c r="G108" s="88"/>
      <c r="H108" s="15"/>
    </row>
    <row r="109" spans="1:8" s="87" customFormat="1" ht="19.5" customHeight="1">
      <c r="A109" s="81" t="s">
        <v>862</v>
      </c>
      <c r="B109" s="81">
        <v>430</v>
      </c>
      <c r="C109" s="81"/>
      <c r="D109" s="10">
        <f>D69+D91</f>
        <v>875454445798</v>
      </c>
      <c r="E109" s="10">
        <f>E69+E91</f>
        <v>790847631529</v>
      </c>
      <c r="F109" s="93"/>
      <c r="G109" s="93"/>
      <c r="H109" s="219" t="e">
        <f>H69+H91</f>
        <v>#REF!</v>
      </c>
    </row>
    <row r="110" spans="1:8" s="22" customFormat="1" ht="19.5" customHeight="1">
      <c r="A110" s="48"/>
      <c r="B110" s="58"/>
      <c r="C110" s="58"/>
      <c r="D110" s="59"/>
      <c r="E110" s="59"/>
      <c r="F110" s="89"/>
      <c r="G110" s="88"/>
      <c r="H110" s="16"/>
    </row>
    <row r="111" spans="1:7" s="22" customFormat="1" ht="19.5" customHeight="1">
      <c r="A111" s="60"/>
      <c r="B111" s="49"/>
      <c r="C111" s="49"/>
      <c r="D111" s="24">
        <f>D64-D109</f>
        <v>0</v>
      </c>
      <c r="E111" s="24">
        <f>E64-E109</f>
        <v>0</v>
      </c>
      <c r="F111" s="89"/>
      <c r="G111" s="88"/>
    </row>
    <row r="112" spans="1:7" s="73" customFormat="1" ht="22.5" customHeight="1">
      <c r="A112" s="418" t="s">
        <v>863</v>
      </c>
      <c r="B112" s="418"/>
      <c r="C112" s="418"/>
      <c r="D112" s="418"/>
      <c r="E112" s="418"/>
      <c r="F112" s="125"/>
      <c r="G112" s="125"/>
    </row>
    <row r="113" spans="1:7" s="128" customFormat="1" ht="22.5" customHeight="1">
      <c r="A113" s="374" t="s">
        <v>101</v>
      </c>
      <c r="B113" s="416" t="s">
        <v>707</v>
      </c>
      <c r="C113" s="417"/>
      <c r="D113" s="126" t="s">
        <v>989</v>
      </c>
      <c r="E113" s="126" t="s">
        <v>341</v>
      </c>
      <c r="F113" s="127"/>
      <c r="G113" s="127"/>
    </row>
    <row r="114" spans="1:7" s="73" customFormat="1" ht="19.5" customHeight="1">
      <c r="A114" s="373" t="s">
        <v>351</v>
      </c>
      <c r="B114" s="419">
        <v>24</v>
      </c>
      <c r="C114" s="420"/>
      <c r="D114" s="74"/>
      <c r="E114" s="74"/>
      <c r="F114" s="125"/>
      <c r="G114" s="125"/>
    </row>
    <row r="115" spans="1:7" s="73" customFormat="1" ht="19.5" customHeight="1">
      <c r="A115" s="74" t="s">
        <v>999</v>
      </c>
      <c r="B115" s="419"/>
      <c r="C115" s="420"/>
      <c r="D115" s="69">
        <f>'BIEU 02-Bang CDSPS '!L291</f>
        <v>950630948</v>
      </c>
      <c r="E115" s="69">
        <f>'BIEU 02-Bang CDSPS '!D291</f>
        <v>958269119</v>
      </c>
      <c r="F115" s="125"/>
      <c r="G115" s="125"/>
    </row>
    <row r="116" spans="1:7" s="73" customFormat="1" ht="19.5" customHeight="1">
      <c r="A116" s="74" t="s">
        <v>705</v>
      </c>
      <c r="B116" s="419"/>
      <c r="C116" s="420"/>
      <c r="D116" s="74"/>
      <c r="E116" s="74"/>
      <c r="F116" s="125"/>
      <c r="G116" s="125"/>
    </row>
    <row r="117" spans="1:7" s="73" customFormat="1" ht="19.5" customHeight="1">
      <c r="A117" s="74" t="s">
        <v>352</v>
      </c>
      <c r="B117" s="419"/>
      <c r="C117" s="420"/>
      <c r="D117" s="69">
        <f>'BIEU 02-Bang CDSPS '!L292</f>
        <v>1519655163</v>
      </c>
      <c r="E117" s="69">
        <f>'BIEU 02-Bang CDSPS '!D292</f>
        <v>1519655163</v>
      </c>
      <c r="F117" s="125"/>
      <c r="G117" s="125"/>
    </row>
    <row r="118" spans="1:7" s="73" customFormat="1" ht="19.5" customHeight="1">
      <c r="A118" s="74" t="s">
        <v>353</v>
      </c>
      <c r="B118" s="423"/>
      <c r="C118" s="420"/>
      <c r="D118" s="129">
        <f>'BIEU 02-Bang CDSPS '!L293</f>
        <v>4065381.0200000023</v>
      </c>
      <c r="E118" s="129">
        <f>'BIEU 02-Bang CDSPS '!D293</f>
        <v>5414876.930000001</v>
      </c>
      <c r="F118" s="125"/>
      <c r="G118" s="125"/>
    </row>
    <row r="119" spans="1:7" s="73" customFormat="1" ht="19.5" customHeight="1">
      <c r="A119" s="74" t="s">
        <v>706</v>
      </c>
      <c r="B119" s="419"/>
      <c r="C119" s="420"/>
      <c r="D119" s="74"/>
      <c r="E119" s="74"/>
      <c r="F119" s="125"/>
      <c r="G119" s="125"/>
    </row>
    <row r="120" spans="1:7" s="73" customFormat="1" ht="19.5" customHeight="1">
      <c r="A120" s="78"/>
      <c r="B120" s="421"/>
      <c r="C120" s="422"/>
      <c r="D120" s="78"/>
      <c r="E120" s="78"/>
      <c r="F120" s="125"/>
      <c r="G120" s="125"/>
    </row>
    <row r="121" spans="4:7" s="73" customFormat="1" ht="22.5" customHeight="1">
      <c r="D121" s="130" t="s">
        <v>614</v>
      </c>
      <c r="E121" s="75"/>
      <c r="F121" s="125"/>
      <c r="G121" s="125"/>
    </row>
    <row r="122" spans="1:7" s="73" customFormat="1" ht="18">
      <c r="A122" s="131" t="s">
        <v>354</v>
      </c>
      <c r="D122" s="415" t="s">
        <v>771</v>
      </c>
      <c r="E122" s="415"/>
      <c r="F122" s="125"/>
      <c r="G122" s="125"/>
    </row>
    <row r="123" spans="6:7" s="73" customFormat="1" ht="17.25">
      <c r="F123" s="125"/>
      <c r="G123" s="125"/>
    </row>
    <row r="124" spans="6:7" s="73" customFormat="1" ht="17.25">
      <c r="F124" s="125"/>
      <c r="G124" s="125"/>
    </row>
    <row r="125" spans="6:7" s="73" customFormat="1" ht="17.25">
      <c r="F125" s="125"/>
      <c r="G125" s="125"/>
    </row>
    <row r="126" spans="6:7" s="73" customFormat="1" ht="17.25">
      <c r="F126" s="125"/>
      <c r="G126" s="125"/>
    </row>
    <row r="127" spans="1:7" s="73" customFormat="1" ht="24" customHeight="1">
      <c r="A127" s="132" t="s">
        <v>355</v>
      </c>
      <c r="F127" s="125"/>
      <c r="G127" s="125"/>
    </row>
  </sheetData>
  <sheetProtection/>
  <mergeCells count="14">
    <mergeCell ref="D1:E1"/>
    <mergeCell ref="A6:E6"/>
    <mergeCell ref="D2:E2"/>
    <mergeCell ref="D3:E3"/>
    <mergeCell ref="D122:E122"/>
    <mergeCell ref="B113:C113"/>
    <mergeCell ref="A112:E112"/>
    <mergeCell ref="B114:C114"/>
    <mergeCell ref="B115:C115"/>
    <mergeCell ref="B116:C116"/>
    <mergeCell ref="B117:C117"/>
    <mergeCell ref="B119:C119"/>
    <mergeCell ref="B120:C120"/>
    <mergeCell ref="B118:C118"/>
  </mergeCells>
  <printOptions horizontalCentered="1"/>
  <pageMargins left="0.33" right="0" top="1" bottom="0.5" header="0" footer="0"/>
  <pageSetup horizontalDpi="180" verticalDpi="180" orientation="portrait" paperSize="9" scale="85" r:id="rId3"/>
  <legacyDrawing r:id="rId2"/>
</worksheet>
</file>

<file path=xl/worksheets/sheet7.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D17" sqref="D17"/>
    </sheetView>
  </sheetViews>
  <sheetFormatPr defaultColWidth="8.796875" defaultRowHeight="15"/>
  <cols>
    <col min="1" max="1" width="60.69921875" style="12" customWidth="1"/>
    <col min="2" max="2" width="7.3984375" style="12" customWidth="1"/>
    <col min="3" max="4" width="17.3984375" style="12" customWidth="1"/>
    <col min="5" max="7" width="9" style="12" customWidth="1"/>
    <col min="8" max="8" width="16.5" style="12" customWidth="1"/>
    <col min="9" max="16384" width="9" style="12" customWidth="1"/>
  </cols>
  <sheetData>
    <row r="1" spans="1:4" ht="15">
      <c r="A1" s="109" t="s">
        <v>675</v>
      </c>
      <c r="C1" s="409" t="s">
        <v>264</v>
      </c>
      <c r="D1" s="409"/>
    </row>
    <row r="2" spans="1:4" s="11" customFormat="1" ht="15">
      <c r="A2" s="101" t="s">
        <v>632</v>
      </c>
      <c r="C2" s="409" t="s">
        <v>260</v>
      </c>
      <c r="D2" s="409"/>
    </row>
    <row r="3" spans="1:4" s="11" customFormat="1" ht="15">
      <c r="A3" s="101" t="s">
        <v>261</v>
      </c>
      <c r="C3" s="409" t="s">
        <v>258</v>
      </c>
      <c r="D3" s="409"/>
    </row>
    <row r="4" spans="1:4" s="66" customFormat="1" ht="30.75" customHeight="1">
      <c r="A4" s="414" t="s">
        <v>1168</v>
      </c>
      <c r="B4" s="414"/>
      <c r="C4" s="414"/>
      <c r="D4" s="414"/>
    </row>
    <row r="5" spans="1:4" s="21" customFormat="1" ht="15">
      <c r="A5" s="425"/>
      <c r="B5" s="425"/>
      <c r="C5" s="425"/>
      <c r="D5" s="425"/>
    </row>
    <row r="6" spans="1:4" ht="24" customHeight="1">
      <c r="A6" s="30" t="s">
        <v>840</v>
      </c>
      <c r="B6" s="30" t="s">
        <v>340</v>
      </c>
      <c r="C6" s="30" t="s">
        <v>160</v>
      </c>
      <c r="D6" s="30" t="s">
        <v>161</v>
      </c>
    </row>
    <row r="7" spans="1:4" ht="21" customHeight="1" hidden="1">
      <c r="A7" s="30">
        <v>1</v>
      </c>
      <c r="B7" s="30">
        <v>2</v>
      </c>
      <c r="C7" s="30">
        <v>4</v>
      </c>
      <c r="D7" s="30">
        <v>5</v>
      </c>
    </row>
    <row r="8" spans="1:4" ht="19.5" customHeight="1">
      <c r="A8" s="3" t="s">
        <v>454</v>
      </c>
      <c r="B8" s="23"/>
      <c r="C8" s="23"/>
      <c r="D8" s="23"/>
    </row>
    <row r="9" spans="1:4" ht="19.5" customHeight="1">
      <c r="A9" s="15" t="s">
        <v>455</v>
      </c>
      <c r="B9" s="65" t="s">
        <v>361</v>
      </c>
      <c r="C9" s="8">
        <v>439289722045</v>
      </c>
      <c r="D9" s="8">
        <v>252318824619</v>
      </c>
    </row>
    <row r="10" spans="1:4" ht="19.5" customHeight="1">
      <c r="A10" s="15" t="s">
        <v>456</v>
      </c>
      <c r="B10" s="65" t="s">
        <v>362</v>
      </c>
      <c r="C10" s="95">
        <v>-80966001283</v>
      </c>
      <c r="D10" s="95">
        <v>-84120879891</v>
      </c>
    </row>
    <row r="11" spans="1:4" ht="19.5" customHeight="1">
      <c r="A11" s="15" t="s">
        <v>457</v>
      </c>
      <c r="B11" s="65" t="s">
        <v>363</v>
      </c>
      <c r="C11" s="95">
        <v>-161116525280</v>
      </c>
      <c r="D11" s="95">
        <v>-141553940402</v>
      </c>
    </row>
    <row r="12" spans="1:4" ht="19.5" customHeight="1">
      <c r="A12" s="15" t="s">
        <v>458</v>
      </c>
      <c r="B12" s="65" t="s">
        <v>172</v>
      </c>
      <c r="C12" s="95">
        <v>-2058890625</v>
      </c>
      <c r="D12" s="95">
        <v>-1959201812</v>
      </c>
    </row>
    <row r="13" spans="1:4" ht="19.5" customHeight="1">
      <c r="A13" s="15" t="s">
        <v>459</v>
      </c>
      <c r="B13" s="65" t="s">
        <v>364</v>
      </c>
      <c r="C13" s="95">
        <v>-17595983779</v>
      </c>
      <c r="D13" s="95">
        <v>0</v>
      </c>
    </row>
    <row r="14" spans="1:4" ht="19.5" customHeight="1">
      <c r="A14" s="15" t="s">
        <v>460</v>
      </c>
      <c r="B14" s="65" t="s">
        <v>365</v>
      </c>
      <c r="C14" s="8">
        <v>17708084268</v>
      </c>
      <c r="D14" s="8">
        <v>398663745</v>
      </c>
    </row>
    <row r="15" spans="1:4" ht="19.5" customHeight="1">
      <c r="A15" s="15" t="s">
        <v>461</v>
      </c>
      <c r="B15" s="65" t="s">
        <v>366</v>
      </c>
      <c r="C15" s="95">
        <v>-90243439732</v>
      </c>
      <c r="D15" s="95">
        <v>-35833135859</v>
      </c>
    </row>
    <row r="16" spans="1:4" ht="19.5" customHeight="1">
      <c r="A16" s="2" t="s">
        <v>462</v>
      </c>
      <c r="B16" s="14">
        <v>20</v>
      </c>
      <c r="C16" s="296">
        <f>C9+C10+C11+C12+C13+C14+C15</f>
        <v>105016965614</v>
      </c>
      <c r="D16" s="220">
        <f>D9+D10+D11+D12+D13+D14+D15</f>
        <v>-10749669600</v>
      </c>
    </row>
    <row r="17" spans="1:4" ht="19.5" customHeight="1">
      <c r="A17" s="2" t="s">
        <v>463</v>
      </c>
      <c r="B17" s="26"/>
      <c r="C17" s="8"/>
      <c r="D17" s="8"/>
    </row>
    <row r="18" spans="1:4" ht="19.5" customHeight="1">
      <c r="A18" s="15" t="s">
        <v>788</v>
      </c>
      <c r="B18" s="26">
        <v>21</v>
      </c>
      <c r="C18" s="95">
        <v>-14185656612</v>
      </c>
      <c r="D18" s="95">
        <v>-21210356183</v>
      </c>
    </row>
    <row r="19" spans="1:4" ht="19.5" customHeight="1">
      <c r="A19" s="15" t="s">
        <v>789</v>
      </c>
      <c r="B19" s="26">
        <v>22</v>
      </c>
      <c r="C19" s="8">
        <v>18799755702</v>
      </c>
      <c r="D19" s="8">
        <v>21995281664</v>
      </c>
    </row>
    <row r="20" spans="1:4" ht="19.5" customHeight="1">
      <c r="A20" s="15" t="s">
        <v>804</v>
      </c>
      <c r="B20" s="26">
        <v>23</v>
      </c>
      <c r="C20" s="95">
        <v>-20000000000</v>
      </c>
      <c r="D20" s="95">
        <v>-5300000000</v>
      </c>
    </row>
    <row r="21" spans="1:4" ht="19.5" customHeight="1">
      <c r="A21" s="15" t="s">
        <v>805</v>
      </c>
      <c r="B21" s="26">
        <v>24</v>
      </c>
      <c r="C21" s="8">
        <v>9809292900</v>
      </c>
      <c r="D21" s="8">
        <v>1000000000</v>
      </c>
    </row>
    <row r="22" spans="1:4" ht="19.5" customHeight="1">
      <c r="A22" s="15" t="s">
        <v>878</v>
      </c>
      <c r="B22" s="26">
        <v>25</v>
      </c>
      <c r="C22" s="95">
        <v>-6840000000</v>
      </c>
      <c r="D22" s="95">
        <v>-18700000000</v>
      </c>
    </row>
    <row r="23" spans="1:4" ht="19.5" customHeight="1">
      <c r="A23" s="15" t="s">
        <v>806</v>
      </c>
      <c r="B23" s="26">
        <v>26</v>
      </c>
      <c r="C23" s="8">
        <v>0</v>
      </c>
      <c r="D23" s="8">
        <v>0</v>
      </c>
    </row>
    <row r="24" spans="1:8" ht="19.5" customHeight="1">
      <c r="A24" s="15" t="s">
        <v>807</v>
      </c>
      <c r="B24" s="26">
        <v>27</v>
      </c>
      <c r="C24" s="8">
        <v>12505057294</v>
      </c>
      <c r="D24" s="8">
        <v>2386305449</v>
      </c>
      <c r="H24" s="18"/>
    </row>
    <row r="25" spans="1:4" ht="19.5" customHeight="1">
      <c r="A25" s="2" t="s">
        <v>173</v>
      </c>
      <c r="B25" s="14">
        <v>30</v>
      </c>
      <c r="C25" s="375">
        <f>C18+C19+C20+C21+C22+C23+C24</f>
        <v>88449284</v>
      </c>
      <c r="D25" s="139">
        <f>D18+D19+D20+D21+D22+D23+D24</f>
        <v>-19828769070</v>
      </c>
    </row>
    <row r="26" spans="1:4" ht="19.5" customHeight="1">
      <c r="A26" s="2" t="s">
        <v>174</v>
      </c>
      <c r="B26" s="26"/>
      <c r="C26" s="8"/>
      <c r="D26" s="8"/>
    </row>
    <row r="27" spans="1:4" ht="19.5" customHeight="1">
      <c r="A27" s="15" t="s">
        <v>808</v>
      </c>
      <c r="B27" s="26">
        <v>31</v>
      </c>
      <c r="C27" s="8">
        <v>0</v>
      </c>
      <c r="D27" s="8">
        <v>0</v>
      </c>
    </row>
    <row r="28" spans="1:4" ht="19.5" customHeight="1">
      <c r="A28" s="15" t="s">
        <v>809</v>
      </c>
      <c r="B28" s="26"/>
      <c r="C28" s="8"/>
      <c r="D28" s="8"/>
    </row>
    <row r="29" spans="1:4" ht="19.5" customHeight="1">
      <c r="A29" s="15" t="s">
        <v>752</v>
      </c>
      <c r="B29" s="26">
        <v>32</v>
      </c>
      <c r="C29" s="67">
        <v>0</v>
      </c>
      <c r="D29" s="67">
        <v>0</v>
      </c>
    </row>
    <row r="30" spans="1:4" ht="19.5" customHeight="1">
      <c r="A30" s="15" t="s">
        <v>753</v>
      </c>
      <c r="B30" s="26">
        <v>33</v>
      </c>
      <c r="C30" s="8">
        <v>0</v>
      </c>
      <c r="D30" s="8">
        <v>9533216585</v>
      </c>
    </row>
    <row r="31" spans="1:4" ht="19.5" customHeight="1">
      <c r="A31" s="15" t="s">
        <v>754</v>
      </c>
      <c r="B31" s="26">
        <v>34</v>
      </c>
      <c r="C31" s="95">
        <v>-4764385686</v>
      </c>
      <c r="D31" s="95">
        <v>-13864449607</v>
      </c>
    </row>
    <row r="32" spans="1:4" ht="19.5" customHeight="1">
      <c r="A32" s="15" t="s">
        <v>755</v>
      </c>
      <c r="B32" s="26">
        <v>35</v>
      </c>
      <c r="C32" s="67">
        <v>0</v>
      </c>
      <c r="D32" s="67">
        <v>0</v>
      </c>
    </row>
    <row r="33" spans="1:4" ht="19.5" customHeight="1">
      <c r="A33" s="15" t="s">
        <v>756</v>
      </c>
      <c r="B33" s="26">
        <v>36</v>
      </c>
      <c r="C33" s="297">
        <v>-60000100000</v>
      </c>
      <c r="D33" s="95">
        <v>-5775300000</v>
      </c>
    </row>
    <row r="34" spans="1:4" ht="19.5" customHeight="1">
      <c r="A34" s="2" t="s">
        <v>716</v>
      </c>
      <c r="B34" s="14">
        <v>40</v>
      </c>
      <c r="C34" s="139">
        <f>C27+C29+C30+C31+C32+C33</f>
        <v>-64764485686</v>
      </c>
      <c r="D34" s="139">
        <f>D27+D29+D30+D31+D32+D33</f>
        <v>-10106533022</v>
      </c>
    </row>
    <row r="35" spans="1:4" ht="19.5" customHeight="1">
      <c r="A35" s="2" t="s">
        <v>185</v>
      </c>
      <c r="B35" s="14">
        <v>50</v>
      </c>
      <c r="C35" s="375">
        <f>C16+C25+C34</f>
        <v>40340929212</v>
      </c>
      <c r="D35" s="139">
        <f>D16+D25+D34</f>
        <v>-40684971692</v>
      </c>
    </row>
    <row r="36" spans="1:4" ht="19.5" customHeight="1">
      <c r="A36" s="2" t="s">
        <v>757</v>
      </c>
      <c r="B36" s="14">
        <v>60</v>
      </c>
      <c r="C36" s="70">
        <v>245240326263</v>
      </c>
      <c r="D36" s="5">
        <v>150076633193</v>
      </c>
    </row>
    <row r="37" spans="1:4" ht="19.5" customHeight="1">
      <c r="A37" s="15" t="s">
        <v>758</v>
      </c>
      <c r="B37" s="26">
        <v>61</v>
      </c>
      <c r="C37" s="95">
        <v>-2827936344</v>
      </c>
      <c r="D37" s="95">
        <v>0</v>
      </c>
    </row>
    <row r="38" spans="1:4" ht="19.5" customHeight="1">
      <c r="A38" s="2" t="s">
        <v>186</v>
      </c>
      <c r="B38" s="14">
        <v>70</v>
      </c>
      <c r="C38" s="70">
        <f>C35+C36+C37</f>
        <v>282753319131</v>
      </c>
      <c r="D38" s="5">
        <f>D35+D36+D37</f>
        <v>109391661501</v>
      </c>
    </row>
    <row r="39" spans="1:4" ht="19.5" customHeight="1">
      <c r="A39" s="16"/>
      <c r="B39" s="16"/>
      <c r="C39" s="17">
        <f>C38-'B 01-DN CD KETOAN '!D11</f>
        <v>0</v>
      </c>
      <c r="D39" s="17"/>
    </row>
    <row r="40" ht="15">
      <c r="D40" s="18"/>
    </row>
    <row r="41" spans="1:4" s="6" customFormat="1" ht="18">
      <c r="A41" s="224" t="s">
        <v>736</v>
      </c>
      <c r="C41" s="391" t="s">
        <v>771</v>
      </c>
      <c r="D41" s="391"/>
    </row>
    <row r="42" ht="17.25">
      <c r="C42" s="18"/>
    </row>
    <row r="43" ht="18">
      <c r="C43" s="61"/>
    </row>
    <row r="45" ht="17.25">
      <c r="A45" s="12" t="s">
        <v>527</v>
      </c>
    </row>
  </sheetData>
  <sheetProtection/>
  <mergeCells count="6">
    <mergeCell ref="C1:D1"/>
    <mergeCell ref="A4:D4"/>
    <mergeCell ref="A5:D5"/>
    <mergeCell ref="C41:D41"/>
    <mergeCell ref="C2:D2"/>
    <mergeCell ref="C3:D3"/>
  </mergeCells>
  <printOptions horizontalCentered="1"/>
  <pageMargins left="0" right="0" top="0.75" bottom="0.25" header="0" footer="0"/>
  <pageSetup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SAIGON INFORMATICS COMPANY</dc:creator>
  <cp:keywords/>
  <dc:description/>
  <cp:lastModifiedBy>Admin</cp:lastModifiedBy>
  <cp:lastPrinted>2010-10-20T08:22:55Z</cp:lastPrinted>
  <dcterms:modified xsi:type="dcterms:W3CDTF">2010-10-21T01:16:11Z</dcterms:modified>
  <cp:category/>
  <cp:version/>
  <cp:contentType/>
  <cp:contentStatus/>
</cp:coreProperties>
</file>